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defaultThemeVersion="124226"/>
  <mc:AlternateContent xmlns:mc="http://schemas.openxmlformats.org/markup-compatibility/2006">
    <mc:Choice Requires="x15">
      <x15ac:absPath xmlns:x15ac="http://schemas.microsoft.com/office/spreadsheetml/2010/11/ac" url="C:\Users\user\Desktop\Data Centers\Tools and EEM Lists\"/>
    </mc:Choice>
  </mc:AlternateContent>
  <xr:revisionPtr revIDLastSave="0" documentId="13_ncr:1_{3086718B-ACB9-4D93-B918-6FB9A0B20B99}" xr6:coauthVersionLast="36" xr6:coauthVersionMax="36" xr10:uidLastSave="{00000000-0000-0000-0000-000000000000}"/>
  <bookViews>
    <workbookView xWindow="0" yWindow="0" windowWidth="23040" windowHeight="9060" tabRatio="752" xr2:uid="{00000000-000D-0000-FFFF-FFFF00000000}"/>
  </bookViews>
  <sheets>
    <sheet name="Overview" sheetId="4" r:id="rId1"/>
    <sheet name="User Inputs" sheetId="13" r:id="rId2"/>
    <sheet name="Action Results" sheetId="10" r:id="rId3"/>
    <sheet name="Savings Summary" sheetId="18" r:id="rId4"/>
    <sheet name="Peer Comparison" sheetId="11" r:id="rId5"/>
    <sheet name="UPS Efficiency" sheetId="6" r:id="rId6"/>
    <sheet name="Table AA" sheetId="15" r:id="rId7"/>
    <sheet name="Table BB" sheetId="12" r:id="rId8"/>
    <sheet name="Table DD" sheetId="16" r:id="rId9"/>
    <sheet name="DC_BM_data" sheetId="14" r:id="rId10"/>
    <sheet name="UPS_data" sheetId="22" r:id="rId11"/>
    <sheet name="Developer" sheetId="20" r:id="rId12"/>
  </sheets>
  <definedNames>
    <definedName name="_xlnm.Print_Area" localSheetId="4">'Peer Comparison'!$A$1:$O$82</definedName>
    <definedName name="_xlnm.Print_Area" localSheetId="5">'UPS Efficiency'!$A$1:$N$34</definedName>
  </definedNames>
  <calcPr calcId="191029"/>
</workbook>
</file>

<file path=xl/calcChain.xml><?xml version="1.0" encoding="utf-8"?>
<calcChain xmlns="http://schemas.openxmlformats.org/spreadsheetml/2006/main">
  <c r="AD52" i="12" l="1"/>
  <c r="D52" i="12"/>
  <c r="Y52" i="12" s="1"/>
  <c r="D58" i="12"/>
  <c r="A53" i="13"/>
  <c r="A24" i="10"/>
  <c r="K40" i="12"/>
  <c r="L40" i="12"/>
  <c r="B53" i="13"/>
  <c r="U52" i="12"/>
  <c r="T52" i="12"/>
  <c r="S54" i="12"/>
  <c r="S53" i="12"/>
  <c r="L52" i="12"/>
  <c r="D53" i="13" s="1"/>
  <c r="K52" i="12"/>
  <c r="H52" i="12"/>
  <c r="C37" i="13"/>
  <c r="C38" i="13" s="1"/>
  <c r="G36" i="14" s="1"/>
  <c r="C36" i="13"/>
  <c r="K36" i="14" s="1"/>
  <c r="D13" i="15"/>
  <c r="A28" i="13"/>
  <c r="B28" i="13"/>
  <c r="E40" i="12" l="1"/>
  <c r="E53" i="13"/>
  <c r="G53" i="13" s="1"/>
  <c r="C24" i="10" s="1"/>
  <c r="N52" i="12" s="1"/>
  <c r="E49" i="13"/>
  <c r="G52" i="13" s="1"/>
  <c r="C23" i="10" s="1"/>
  <c r="J6" i="6"/>
  <c r="E20" i="22"/>
  <c r="C6" i="6" s="1"/>
  <c r="F20" i="22"/>
  <c r="D6" i="6" s="1"/>
  <c r="G20" i="22"/>
  <c r="H20" i="22"/>
  <c r="E6" i="6" s="1"/>
  <c r="I20" i="22"/>
  <c r="F6" i="6" s="1"/>
  <c r="J20" i="22"/>
  <c r="G6" i="6" s="1"/>
  <c r="K20" i="22"/>
  <c r="H6" i="6" s="1"/>
  <c r="L20" i="22"/>
  <c r="I6" i="6" s="1"/>
  <c r="M20" i="22"/>
  <c r="N20" i="22"/>
  <c r="O20" i="22"/>
  <c r="K6" i="6" s="1"/>
  <c r="P20" i="22"/>
  <c r="L6" i="6" s="1"/>
  <c r="D20" i="22"/>
  <c r="D24" i="10" l="1"/>
  <c r="Q52" i="12"/>
  <c r="Z52" i="12" s="1"/>
  <c r="AA52" i="12" s="1"/>
  <c r="K52" i="13"/>
  <c r="I52" i="13"/>
  <c r="J52" i="13"/>
  <c r="G51" i="13"/>
  <c r="K51" i="13" s="1"/>
  <c r="U107" i="12"/>
  <c r="T107" i="12"/>
  <c r="W70" i="12"/>
  <c r="V70" i="12"/>
  <c r="U70" i="12"/>
  <c r="T70" i="12"/>
  <c r="W33" i="12"/>
  <c r="V33" i="12"/>
  <c r="U33" i="12"/>
  <c r="T33" i="12"/>
  <c r="U101" i="12"/>
  <c r="T101" i="12"/>
  <c r="U95" i="12"/>
  <c r="T95" i="12"/>
  <c r="U89" i="12"/>
  <c r="T89" i="12"/>
  <c r="U83" i="12"/>
  <c r="T83" i="12"/>
  <c r="U64" i="12"/>
  <c r="T64" i="12"/>
  <c r="U58" i="12"/>
  <c r="T58" i="12"/>
  <c r="U27" i="12"/>
  <c r="T27" i="12"/>
  <c r="U21" i="12"/>
  <c r="T21" i="12"/>
  <c r="U15" i="12"/>
  <c r="T15" i="12"/>
  <c r="F24" i="10" l="1"/>
  <c r="A38" i="10"/>
  <c r="A35" i="10"/>
  <c r="A33" i="10"/>
  <c r="A32" i="10"/>
  <c r="A31" i="10"/>
  <c r="A30" i="10"/>
  <c r="A29" i="10"/>
  <c r="A28" i="10"/>
  <c r="A27" i="10"/>
  <c r="A26" i="10"/>
  <c r="A25" i="10"/>
  <c r="A20" i="10"/>
  <c r="A19" i="10"/>
  <c r="A18" i="10"/>
  <c r="A17" i="10"/>
  <c r="A16" i="10"/>
  <c r="A59" i="13"/>
  <c r="A67" i="13"/>
  <c r="A64" i="13"/>
  <c r="A62" i="13"/>
  <c r="A54" i="13"/>
  <c r="A55" i="13"/>
  <c r="A56" i="13"/>
  <c r="A57" i="13"/>
  <c r="A58" i="13"/>
  <c r="A60" i="13"/>
  <c r="A61" i="13"/>
  <c r="A46" i="13"/>
  <c r="A47" i="13"/>
  <c r="A48" i="13"/>
  <c r="A49" i="13"/>
  <c r="A45" i="13"/>
  <c r="A26" i="13"/>
  <c r="A27" i="13"/>
  <c r="A25" i="13"/>
  <c r="A24" i="13"/>
  <c r="A29" i="13"/>
  <c r="A30" i="13"/>
  <c r="A31" i="13"/>
  <c r="A32" i="13"/>
  <c r="K37" i="14"/>
  <c r="O37" i="14"/>
  <c r="S37" i="14" s="1"/>
  <c r="O36" i="14"/>
  <c r="S36" i="14" s="1"/>
  <c r="C36" i="14"/>
  <c r="Q77" i="12" l="1"/>
  <c r="Z77" i="12" s="1"/>
  <c r="P122" i="12"/>
  <c r="W119" i="12" s="1"/>
  <c r="P121" i="12"/>
  <c r="V119" i="12" s="1"/>
  <c r="P120" i="12"/>
  <c r="U119" i="12" s="1"/>
  <c r="P119" i="12"/>
  <c r="T119" i="12" s="1"/>
  <c r="P116" i="12"/>
  <c r="W113" i="12" s="1"/>
  <c r="P115" i="12"/>
  <c r="V113" i="12" s="1"/>
  <c r="P114" i="12"/>
  <c r="U113" i="12" s="1"/>
  <c r="P113" i="12"/>
  <c r="T113" i="12" s="1"/>
  <c r="P79" i="12"/>
  <c r="V77" i="12" s="1"/>
  <c r="P78" i="12"/>
  <c r="U77" i="12" s="1"/>
  <c r="P77" i="12"/>
  <c r="T77" i="12" s="1"/>
  <c r="J114" i="12"/>
  <c r="I115" i="12"/>
  <c r="L70" i="12"/>
  <c r="Q40" i="12"/>
  <c r="D40" i="12"/>
  <c r="Y40" i="12" l="1"/>
  <c r="G49" i="13"/>
  <c r="K49" i="13" s="1"/>
  <c r="L33" i="12"/>
  <c r="B48" i="13"/>
  <c r="D12" i="15"/>
  <c r="B27" i="13"/>
  <c r="I53" i="13" l="1"/>
  <c r="J53" i="13"/>
  <c r="K53" i="13" s="1"/>
  <c r="I49" i="13"/>
  <c r="J49" i="13"/>
  <c r="G50" i="13"/>
  <c r="K50" i="13" s="1"/>
  <c r="J120" i="12"/>
  <c r="I121" i="12"/>
  <c r="I50" i="13" l="1"/>
  <c r="J50" i="13"/>
  <c r="I51" i="13"/>
  <c r="J51" i="13"/>
  <c r="S117" i="12"/>
  <c r="L113" i="12"/>
  <c r="K113" i="12"/>
  <c r="J113" i="12"/>
  <c r="B49" i="13" l="1"/>
  <c r="B64" i="13" l="1"/>
  <c r="B67" i="13"/>
  <c r="B57" i="13"/>
  <c r="B62" i="13"/>
  <c r="B59" i="13"/>
  <c r="B47" i="13"/>
  <c r="B54" i="13"/>
  <c r="B60" i="13"/>
  <c r="B61" i="13"/>
  <c r="B55" i="13"/>
  <c r="B45" i="13"/>
  <c r="B46" i="13"/>
  <c r="B58" i="13"/>
  <c r="B56" i="13"/>
  <c r="B25" i="13"/>
  <c r="B30" i="13"/>
  <c r="B24" i="13"/>
  <c r="B29" i="13"/>
  <c r="B31" i="13"/>
  <c r="B32" i="13"/>
  <c r="B26" i="13"/>
  <c r="D27" i="12"/>
  <c r="Y27" i="12" s="1"/>
  <c r="I113" i="12"/>
  <c r="L119" i="12"/>
  <c r="D67" i="13" s="1"/>
  <c r="K119" i="12"/>
  <c r="J119" i="12"/>
  <c r="I119" i="12"/>
  <c r="H119" i="12"/>
  <c r="K70" i="12"/>
  <c r="J70" i="12"/>
  <c r="I70" i="12"/>
  <c r="H70" i="12"/>
  <c r="E56" i="13" s="1"/>
  <c r="K33" i="12"/>
  <c r="J33" i="12"/>
  <c r="I33" i="12"/>
  <c r="H33" i="12"/>
  <c r="I114" i="12"/>
  <c r="I120" i="12"/>
  <c r="J71" i="12"/>
  <c r="J34" i="12"/>
  <c r="I78" i="12"/>
  <c r="I71" i="12"/>
  <c r="I34" i="12"/>
  <c r="AD107" i="12"/>
  <c r="AD113" i="12"/>
  <c r="AD119" i="12"/>
  <c r="AD58" i="12"/>
  <c r="AD27" i="12"/>
  <c r="AD89" i="12"/>
  <c r="AD64" i="12"/>
  <c r="AD101" i="12"/>
  <c r="AD95" i="12"/>
  <c r="AD83" i="12"/>
  <c r="AD21" i="12"/>
  <c r="AD15" i="12"/>
  <c r="AD77" i="12"/>
  <c r="AD70" i="12"/>
  <c r="AD33" i="12"/>
  <c r="D21" i="12"/>
  <c r="Y21" i="12" s="1"/>
  <c r="C35" i="14"/>
  <c r="B32" i="14"/>
  <c r="C32" i="14" s="1"/>
  <c r="B29" i="14"/>
  <c r="C29" i="14" s="1"/>
  <c r="B28" i="14"/>
  <c r="C28" i="14" s="1"/>
  <c r="B27" i="14"/>
  <c r="C27" i="14"/>
  <c r="B26" i="14"/>
  <c r="C26" i="14" s="1"/>
  <c r="B24" i="14"/>
  <c r="C24" i="14" s="1"/>
  <c r="B23" i="14"/>
  <c r="C23" i="14" s="1"/>
  <c r="B22" i="14"/>
  <c r="C22" i="14" s="1"/>
  <c r="G21" i="14"/>
  <c r="B21" i="14"/>
  <c r="C21" i="14" s="1"/>
  <c r="C20" i="14"/>
  <c r="B19" i="14"/>
  <c r="C19" i="14" s="1"/>
  <c r="G18" i="14"/>
  <c r="B18" i="14"/>
  <c r="C18" i="14" s="1"/>
  <c r="C17" i="14"/>
  <c r="C16" i="14"/>
  <c r="S109" i="12"/>
  <c r="S108" i="12"/>
  <c r="L107" i="12"/>
  <c r="K107" i="12"/>
  <c r="H107" i="12"/>
  <c r="S116" i="12"/>
  <c r="S115" i="12"/>
  <c r="S114" i="12"/>
  <c r="D64" i="13"/>
  <c r="H113" i="12"/>
  <c r="D113" i="12"/>
  <c r="Y113" i="12" s="1"/>
  <c r="S123" i="12"/>
  <c r="S122" i="12"/>
  <c r="S121" i="12"/>
  <c r="S120" i="12"/>
  <c r="S60" i="12"/>
  <c r="S59" i="12"/>
  <c r="L58" i="12"/>
  <c r="K58" i="12"/>
  <c r="H58" i="12"/>
  <c r="G54" i="13" s="1"/>
  <c r="S29" i="12"/>
  <c r="S28" i="12"/>
  <c r="L27" i="12"/>
  <c r="D47" i="13" s="1"/>
  <c r="K27" i="12"/>
  <c r="H27" i="12"/>
  <c r="G47" i="13" s="1"/>
  <c r="S91" i="12"/>
  <c r="S90" i="12"/>
  <c r="L89" i="12"/>
  <c r="K89" i="12"/>
  <c r="H89" i="12"/>
  <c r="G59" i="13" s="1"/>
  <c r="D89" i="12"/>
  <c r="Y89" i="12" s="1"/>
  <c r="S66" i="12"/>
  <c r="S65" i="12"/>
  <c r="L64" i="12"/>
  <c r="K64" i="12"/>
  <c r="H64" i="12"/>
  <c r="G55" i="13" s="1"/>
  <c r="D64" i="12"/>
  <c r="Y64" i="12" s="1"/>
  <c r="S103" i="12"/>
  <c r="S102" i="12"/>
  <c r="L101" i="12"/>
  <c r="K101" i="12"/>
  <c r="H101" i="12"/>
  <c r="G61" i="13" s="1"/>
  <c r="D101" i="12"/>
  <c r="Y101" i="12" s="1"/>
  <c r="S97" i="12"/>
  <c r="S96" i="12"/>
  <c r="L95" i="12"/>
  <c r="D60" i="13" s="1"/>
  <c r="K95" i="12"/>
  <c r="H95" i="12"/>
  <c r="G60" i="13" s="1"/>
  <c r="S85" i="12"/>
  <c r="S84" i="12"/>
  <c r="L83" i="12"/>
  <c r="K83" i="12"/>
  <c r="H83" i="12"/>
  <c r="G58" i="13" s="1"/>
  <c r="D83" i="12"/>
  <c r="Y83" i="12" s="1"/>
  <c r="S23" i="12"/>
  <c r="S22" i="12"/>
  <c r="L21" i="12"/>
  <c r="K21" i="12"/>
  <c r="H21" i="12"/>
  <c r="G46" i="13" s="1"/>
  <c r="S17" i="12"/>
  <c r="S16" i="12"/>
  <c r="L15" i="12"/>
  <c r="K15" i="12"/>
  <c r="H15" i="12"/>
  <c r="G45" i="13" s="1"/>
  <c r="S80" i="12"/>
  <c r="S79" i="12"/>
  <c r="S78" i="12"/>
  <c r="L77" i="12"/>
  <c r="K77" i="12"/>
  <c r="I77" i="12"/>
  <c r="H77" i="12"/>
  <c r="S74" i="12"/>
  <c r="S73" i="12"/>
  <c r="S72" i="12"/>
  <c r="S71" i="12"/>
  <c r="D70" i="12"/>
  <c r="S37" i="12"/>
  <c r="S36" i="12"/>
  <c r="S35" i="12"/>
  <c r="S34" i="12"/>
  <c r="D33" i="12"/>
  <c r="D63" i="15"/>
  <c r="D60" i="15"/>
  <c r="D17" i="15"/>
  <c r="D16" i="15"/>
  <c r="D57" i="15"/>
  <c r="D14" i="15"/>
  <c r="D9" i="15"/>
  <c r="D56" i="15"/>
  <c r="D50" i="15"/>
  <c r="D49" i="15"/>
  <c r="D15" i="15"/>
  <c r="D10" i="15"/>
  <c r="D48" i="15"/>
  <c r="D25" i="15"/>
  <c r="D11" i="15"/>
  <c r="D47" i="15"/>
  <c r="D41" i="15"/>
  <c r="D36" i="15"/>
  <c r="D31" i="15"/>
  <c r="D20" i="15"/>
  <c r="AD40" i="12"/>
  <c r="D107" i="12"/>
  <c r="Y107" i="12" s="1"/>
  <c r="D119" i="12"/>
  <c r="Y119" i="12" s="1"/>
  <c r="D95" i="12"/>
  <c r="Y95" i="12" s="1"/>
  <c r="D15" i="12"/>
  <c r="Y15" i="12" s="1"/>
  <c r="Y58" i="12"/>
  <c r="D77" i="12"/>
  <c r="Y77" i="12" s="1"/>
  <c r="E55" i="13" l="1"/>
  <c r="E45" i="13"/>
  <c r="D54" i="13"/>
  <c r="E54" i="13"/>
  <c r="Y70" i="12"/>
  <c r="Y33" i="12"/>
  <c r="E62" i="13"/>
  <c r="C39" i="13"/>
  <c r="AB52" i="12" s="1"/>
  <c r="E58" i="13"/>
  <c r="E59" i="13"/>
  <c r="E61" i="13"/>
  <c r="G67" i="13"/>
  <c r="G69" i="13"/>
  <c r="G68" i="13"/>
  <c r="J68" i="13" s="1"/>
  <c r="G65" i="13"/>
  <c r="G66" i="13"/>
  <c r="G64" i="13"/>
  <c r="C35" i="10" s="1"/>
  <c r="E64" i="13"/>
  <c r="E57" i="13"/>
  <c r="I46" i="13"/>
  <c r="J46" i="13"/>
  <c r="K46" i="13" s="1"/>
  <c r="J61" i="13"/>
  <c r="K61" i="13" s="1"/>
  <c r="I61" i="13"/>
  <c r="C31" i="10"/>
  <c r="N95" i="12" s="1"/>
  <c r="Q95" i="12" s="1"/>
  <c r="Z95" i="12" s="1"/>
  <c r="I60" i="13"/>
  <c r="J60" i="13"/>
  <c r="K60" i="13" s="1"/>
  <c r="C30" i="10"/>
  <c r="N89" i="12" s="1"/>
  <c r="Q89" i="12" s="1"/>
  <c r="Z89" i="12" s="1"/>
  <c r="I59" i="13"/>
  <c r="J59" i="13"/>
  <c r="K59" i="13" s="1"/>
  <c r="J58" i="13"/>
  <c r="K58" i="13" s="1"/>
  <c r="I58" i="13"/>
  <c r="C26" i="10"/>
  <c r="N64" i="12" s="1"/>
  <c r="Q64" i="12" s="1"/>
  <c r="Z64" i="12" s="1"/>
  <c r="I55" i="13"/>
  <c r="J55" i="13"/>
  <c r="K55" i="13" s="1"/>
  <c r="C25" i="10"/>
  <c r="J54" i="13"/>
  <c r="K54" i="13" s="1"/>
  <c r="I54" i="13"/>
  <c r="I47" i="13"/>
  <c r="J47" i="13"/>
  <c r="K47" i="13" s="1"/>
  <c r="J45" i="13"/>
  <c r="K45" i="13" s="1"/>
  <c r="I45" i="13"/>
  <c r="E46" i="13"/>
  <c r="G62" i="13"/>
  <c r="G63" i="13"/>
  <c r="E48" i="13"/>
  <c r="D48" i="13"/>
  <c r="E47" i="13"/>
  <c r="D56" i="13"/>
  <c r="D59" i="13"/>
  <c r="G48" i="13"/>
  <c r="G57" i="13"/>
  <c r="D45" i="13"/>
  <c r="C21" i="10"/>
  <c r="D57" i="13"/>
  <c r="E67" i="13"/>
  <c r="C20" i="10"/>
  <c r="D62" i="13"/>
  <c r="G56" i="13"/>
  <c r="E60" i="13"/>
  <c r="D46" i="13"/>
  <c r="D58" i="13"/>
  <c r="D61" i="13"/>
  <c r="C17" i="10"/>
  <c r="N21" i="12" s="1"/>
  <c r="Q21" i="12" s="1"/>
  <c r="Z21" i="12" s="1"/>
  <c r="C29" i="10"/>
  <c r="N83" i="12" s="1"/>
  <c r="Q83" i="12" s="1"/>
  <c r="Z83" i="12" s="1"/>
  <c r="C32" i="10"/>
  <c r="N101" i="12" s="1"/>
  <c r="Q101" i="12" s="1"/>
  <c r="Z101" i="12" s="1"/>
  <c r="C16" i="10"/>
  <c r="N15" i="12" s="1"/>
  <c r="Q15" i="12" s="1"/>
  <c r="Z15" i="12" s="1"/>
  <c r="C18" i="10"/>
  <c r="N27" i="12" s="1"/>
  <c r="Q27" i="12" s="1"/>
  <c r="Z27" i="12" s="1"/>
  <c r="D49" i="13"/>
  <c r="D55" i="13"/>
  <c r="N58" i="12" l="1"/>
  <c r="D25" i="10" s="1"/>
  <c r="E17" i="10"/>
  <c r="D17" i="10"/>
  <c r="E30" i="10"/>
  <c r="D30" i="10"/>
  <c r="E18" i="10"/>
  <c r="D18" i="10"/>
  <c r="E31" i="10"/>
  <c r="D31" i="10"/>
  <c r="E29" i="10"/>
  <c r="AA83" i="12" s="1"/>
  <c r="F29" i="10" s="1"/>
  <c r="D29" i="10"/>
  <c r="D16" i="10"/>
  <c r="E16" i="10"/>
  <c r="C39" i="10"/>
  <c r="I68" i="13"/>
  <c r="I66" i="13"/>
  <c r="C37" i="10"/>
  <c r="J66" i="13"/>
  <c r="J65" i="13"/>
  <c r="I65" i="13"/>
  <c r="I69" i="13"/>
  <c r="J69" i="13"/>
  <c r="C40" i="10"/>
  <c r="C36" i="10"/>
  <c r="I64" i="13"/>
  <c r="J64" i="13"/>
  <c r="AA21" i="12"/>
  <c r="F17" i="10" s="1"/>
  <c r="C34" i="10"/>
  <c r="I63" i="13"/>
  <c r="J63" i="13"/>
  <c r="K63" i="13" s="1"/>
  <c r="C33" i="10"/>
  <c r="J62" i="13"/>
  <c r="K62" i="13" s="1"/>
  <c r="I62" i="13"/>
  <c r="AA101" i="12"/>
  <c r="F32" i="10" s="1"/>
  <c r="D32" i="10"/>
  <c r="AA95" i="12"/>
  <c r="F31" i="10" s="1"/>
  <c r="AA89" i="12"/>
  <c r="F30" i="10" s="1"/>
  <c r="C28" i="10"/>
  <c r="N77" i="12" s="1"/>
  <c r="I57" i="13"/>
  <c r="J57" i="13"/>
  <c r="K57" i="13" s="1"/>
  <c r="I56" i="13"/>
  <c r="J56" i="13"/>
  <c r="K56" i="13" s="1"/>
  <c r="AA64" i="12"/>
  <c r="AB64" i="12" s="1"/>
  <c r="D26" i="10"/>
  <c r="C19" i="10"/>
  <c r="N33" i="12" s="1"/>
  <c r="Q33" i="12" s="1"/>
  <c r="Z33" i="12" s="1"/>
  <c r="I48" i="13"/>
  <c r="J48" i="13"/>
  <c r="K48" i="13" s="1"/>
  <c r="AA27" i="12"/>
  <c r="AB27" i="12" s="1"/>
  <c r="G18" i="10" s="1"/>
  <c r="C38" i="10"/>
  <c r="I67" i="13"/>
  <c r="J67" i="13"/>
  <c r="AA15" i="12"/>
  <c r="C27" i="10"/>
  <c r="N70" i="12" s="1"/>
  <c r="Q70" i="12" s="1"/>
  <c r="Z70" i="12" s="1"/>
  <c r="C22" i="10"/>
  <c r="N40" i="12" s="1"/>
  <c r="E38" i="10" l="1"/>
  <c r="Q119" i="12" s="1"/>
  <c r="Z119" i="12" s="1"/>
  <c r="E35" i="10"/>
  <c r="Q113" i="12" s="1"/>
  <c r="Z113" i="12" s="1"/>
  <c r="AB15" i="12"/>
  <c r="G16" i="10" s="1"/>
  <c r="Q58" i="12"/>
  <c r="Z58" i="12" s="1"/>
  <c r="AA58" i="12" s="1"/>
  <c r="Z40" i="12"/>
  <c r="AB40" i="12" s="1"/>
  <c r="D20" i="10"/>
  <c r="F26" i="10"/>
  <c r="AC64" i="12"/>
  <c r="H26" i="10" s="1"/>
  <c r="E27" i="10"/>
  <c r="D27" i="10"/>
  <c r="E19" i="10"/>
  <c r="D19" i="10"/>
  <c r="N119" i="12"/>
  <c r="N113" i="12"/>
  <c r="D35" i="10" s="1"/>
  <c r="K64" i="13"/>
  <c r="K65" i="13"/>
  <c r="K66" i="13"/>
  <c r="N107" i="12"/>
  <c r="AB21" i="12"/>
  <c r="AC21" i="12" s="1"/>
  <c r="H17" i="10" s="1"/>
  <c r="AB101" i="12"/>
  <c r="AC101" i="12" s="1"/>
  <c r="H32" i="10" s="1"/>
  <c r="AB83" i="12"/>
  <c r="G29" i="10" s="1"/>
  <c r="AB95" i="12"/>
  <c r="AC95" i="12" s="1"/>
  <c r="H31" i="10" s="1"/>
  <c r="AB89" i="12"/>
  <c r="AC89" i="12" s="1"/>
  <c r="H30" i="10" s="1"/>
  <c r="AA77" i="12"/>
  <c r="AB77" i="12" s="1"/>
  <c r="D28" i="10"/>
  <c r="AA70" i="12"/>
  <c r="AB70" i="12" s="1"/>
  <c r="AA33" i="12"/>
  <c r="AB33" i="12" s="1"/>
  <c r="F18" i="10"/>
  <c r="K68" i="13"/>
  <c r="K67" i="13"/>
  <c r="K69" i="13"/>
  <c r="F16" i="10"/>
  <c r="AC27" i="12"/>
  <c r="AE27" i="12" s="1"/>
  <c r="J18" i="10" s="1"/>
  <c r="AA119" i="12" l="1"/>
  <c r="F38" i="10" s="1"/>
  <c r="AA40" i="12"/>
  <c r="F20" i="10" s="1"/>
  <c r="AB58" i="12"/>
  <c r="AC58" i="12" s="1"/>
  <c r="AC15" i="12"/>
  <c r="AE15" i="12" s="1"/>
  <c r="J16" i="10" s="1"/>
  <c r="G24" i="10"/>
  <c r="AC52" i="12"/>
  <c r="F25" i="10"/>
  <c r="Q107" i="12"/>
  <c r="Z107" i="12" s="1"/>
  <c r="AA107" i="12" s="1"/>
  <c r="F33" i="10" s="1"/>
  <c r="G37" i="14"/>
  <c r="G20" i="10"/>
  <c r="G27" i="10"/>
  <c r="D38" i="10"/>
  <c r="AA113" i="12"/>
  <c r="AB113" i="12" s="1"/>
  <c r="G35" i="10" s="1"/>
  <c r="AE21" i="12"/>
  <c r="J17" i="10" s="1"/>
  <c r="D33" i="10"/>
  <c r="G17" i="10"/>
  <c r="AC83" i="12"/>
  <c r="H29" i="10" s="1"/>
  <c r="AE101" i="12"/>
  <c r="J32" i="10" s="1"/>
  <c r="G32" i="10"/>
  <c r="AE95" i="12"/>
  <c r="J31" i="10" s="1"/>
  <c r="G31" i="10"/>
  <c r="G30" i="10"/>
  <c r="AE89" i="12"/>
  <c r="J30" i="10" s="1"/>
  <c r="F28" i="10"/>
  <c r="F27" i="10"/>
  <c r="AE64" i="12"/>
  <c r="J26" i="10" s="1"/>
  <c r="G26" i="10"/>
  <c r="F19" i="10"/>
  <c r="H16" i="10"/>
  <c r="H18" i="10"/>
  <c r="AB119" i="12" l="1"/>
  <c r="AC119" i="12" s="1"/>
  <c r="G38" i="10"/>
  <c r="AE58" i="12"/>
  <c r="J25" i="10" s="1"/>
  <c r="H25" i="10"/>
  <c r="G25" i="10"/>
  <c r="AB107" i="12"/>
  <c r="H24" i="10"/>
  <c r="AE52" i="12"/>
  <c r="J24" i="10" s="1"/>
  <c r="AC40" i="12"/>
  <c r="AE40" i="12" s="1"/>
  <c r="J20" i="10" s="1"/>
  <c r="AC70" i="12"/>
  <c r="AE70" i="12" s="1"/>
  <c r="J27" i="10" s="1"/>
  <c r="B11" i="16"/>
  <c r="E11" i="16" s="1"/>
  <c r="H11" i="16" s="1"/>
  <c r="F35" i="10"/>
  <c r="AC113" i="12"/>
  <c r="H35" i="10" s="1"/>
  <c r="AE83" i="12"/>
  <c r="J29" i="10" s="1"/>
  <c r="G28" i="10"/>
  <c r="AC77" i="12"/>
  <c r="G19" i="10"/>
  <c r="AC33" i="12"/>
  <c r="AC107" i="12" l="1"/>
  <c r="G33" i="10"/>
  <c r="C12" i="16" s="1"/>
  <c r="AE119" i="12"/>
  <c r="J38" i="10" s="1"/>
  <c r="H38" i="10"/>
  <c r="B12" i="16"/>
  <c r="E12" i="16" s="1"/>
  <c r="H12" i="16" s="1"/>
  <c r="H20" i="10"/>
  <c r="H27" i="10"/>
  <c r="C11" i="16"/>
  <c r="F11" i="16"/>
  <c r="G11" i="16" s="1"/>
  <c r="AE113" i="12"/>
  <c r="J35" i="10" s="1"/>
  <c r="AE77" i="12"/>
  <c r="J28" i="10" s="1"/>
  <c r="H28" i="10"/>
  <c r="AE33" i="12"/>
  <c r="J19" i="10" s="1"/>
  <c r="H19" i="10"/>
  <c r="AE107" i="12" l="1"/>
  <c r="J33" i="10" s="1"/>
  <c r="H33" i="10"/>
  <c r="D12" i="16" s="1"/>
  <c r="D11" i="16"/>
  <c r="I11" i="16"/>
  <c r="B12" i="18" s="1"/>
  <c r="C13" i="16"/>
  <c r="F12" i="16"/>
  <c r="I12" i="16" s="1"/>
  <c r="D13" i="16" l="1"/>
  <c r="J11" i="16"/>
  <c r="C12" i="18" s="1"/>
  <c r="B13" i="18"/>
  <c r="I13" i="16"/>
  <c r="B14" i="18" s="1"/>
  <c r="G12" i="16"/>
  <c r="F13" i="16"/>
  <c r="J12" i="16" l="1"/>
  <c r="G13" i="16"/>
  <c r="C13" i="18" l="1"/>
  <c r="J13" i="16"/>
  <c r="C14" i="18" s="1"/>
</calcChain>
</file>

<file path=xl/sharedStrings.xml><?xml version="1.0" encoding="utf-8"?>
<sst xmlns="http://schemas.openxmlformats.org/spreadsheetml/2006/main" count="1135" uniqueCount="675">
  <si>
    <t>What is the UPS system configuration?</t>
  </si>
  <si>
    <t>What is the emergency generator configuration?</t>
  </si>
  <si>
    <t>&lt;0.9</t>
  </si>
  <si>
    <t>&gt;5%</t>
  </si>
  <si>
    <t>≥0.9</t>
  </si>
  <si>
    <t>%</t>
  </si>
  <si>
    <t>W/sf</t>
  </si>
  <si>
    <t>UPS Efficiency</t>
  </si>
  <si>
    <t>kW</t>
  </si>
  <si>
    <t>kVA</t>
  </si>
  <si>
    <t>Description</t>
  </si>
  <si>
    <t>UPS System Efficiency</t>
  </si>
  <si>
    <t>R</t>
  </si>
  <si>
    <t>N</t>
  </si>
  <si>
    <t>&lt;25%</t>
  </si>
  <si>
    <t>&gt;50%</t>
  </si>
  <si>
    <t>≥25-50%</t>
  </si>
  <si>
    <t>≤5%</t>
  </si>
  <si>
    <t>Input</t>
  </si>
  <si>
    <t>N+1</t>
  </si>
  <si>
    <t>2N</t>
  </si>
  <si>
    <t>What is the building total harmonic current distortion (THD) at main feeder panel?</t>
  </si>
  <si>
    <t>What is the IT equipment power factor?</t>
  </si>
  <si>
    <t>What is the power source for non-critical loads?</t>
  </si>
  <si>
    <t>UPS Load Capacity</t>
  </si>
  <si>
    <t>NA</t>
  </si>
  <si>
    <t>load factor: 0.96, avg 3540kVA, 2,990 kW, Liebert UPS 480V constant delivery voltage, 4 Cummins diesel generator with 2,000 kW each for 40 hours</t>
  </si>
  <si>
    <t>load factor: 0.96, avg. 4190kVA, 4000 kW, 5 generators providing 1500W each for 40 hours</t>
  </si>
  <si>
    <t>load factor: 0.97, avg. 1780kVA, 1760 kW, 3 generators providing 1500W each for 8 hours</t>
  </si>
  <si>
    <t>450 kW Emerson Accupower UPS (shared with DC 5), battery supplies power for 30 mins</t>
  </si>
  <si>
    <t>450 kW Emerson Accupower UPS (shared with DC 4), battery supplies power for 30 mins</t>
  </si>
  <si>
    <t>UPS has 225 kVA capacity and is 10% loaded</t>
  </si>
  <si>
    <t>400 kW diesel generator for 10 hrs.</t>
  </si>
  <si>
    <t>International Power Machine 160 kVA, Chloride 50 Power Electronics 50 kVA UPS, 750 kW diesel generator for 10 hours</t>
  </si>
  <si>
    <t>UPS1:Exide UPS2:Teledyne 4 3MW generators (diesel) for 8 days</t>
  </si>
  <si>
    <t xml:space="preserve">6 375kVA Liebert UPS, 3 750kW diesel generators backup, </t>
  </si>
  <si>
    <t>5 1100kVA Liebert UPS, 2 2000 kW diesel generators</t>
  </si>
  <si>
    <t>2 substations, N+1 redundancy, UPS (100 mins), no generator, PDU efficiency 94.8%</t>
  </si>
  <si>
    <t xml:space="preserve">2 on-site substations:10.5MVA, 3 7.5MW gas-turbine generators, </t>
  </si>
  <si>
    <t xml:space="preserve">2800kW feed, 10 1400kW diesel generators, 6 UPS systems of 15000 &amp; 3000kVA, </t>
  </si>
  <si>
    <t>2 HITEC generators, 8 HITEC generators as UPS</t>
  </si>
  <si>
    <t xml:space="preserve">supply: 3 5000A at 480V buses each with 3 750kVA UPS </t>
  </si>
  <si>
    <t>non-critical facility, no UPS, no generator, no humidifiers, no electrical reliability component</t>
  </si>
  <si>
    <t>non-critical facility, no UPS, no generator, no humidifiers, no electrical reliability component, no PDU</t>
  </si>
  <si>
    <t>2 standby generators each rated at 1500kW/kVA</t>
  </si>
  <si>
    <t>What is the designed IT load capacity in kW?</t>
  </si>
  <si>
    <t>What is the total block heater power in kW of the generator?</t>
  </si>
  <si>
    <t>Question</t>
  </si>
  <si>
    <t>What is the annual average unit cost of electricity in ¢/kWh?</t>
  </si>
  <si>
    <t>What is the utility input voltage?</t>
  </si>
  <si>
    <t>Does the block heater(s)/heater water jacket for emergency generator(s) operate with thermostat control?</t>
  </si>
  <si>
    <t>Worksheet</t>
  </si>
  <si>
    <t>OVERVIEW</t>
  </si>
  <si>
    <t>Overview</t>
  </si>
  <si>
    <t>What does this Tool do?</t>
  </si>
  <si>
    <t>How is the Tool used?</t>
  </si>
  <si>
    <t>PEER COMPARISON</t>
  </si>
  <si>
    <t xml:space="preserve">These two charts allow you to compare your data center to 25 other data centers that were analyzed by LBNL. </t>
  </si>
  <si>
    <t>What is the UPS input voltage?</t>
  </si>
  <si>
    <t>What is the UPS output voltage?</t>
  </si>
  <si>
    <t>Notes</t>
  </si>
  <si>
    <t>Date</t>
  </si>
  <si>
    <t>Note</t>
  </si>
  <si>
    <t>By</t>
  </si>
  <si>
    <t>SRG</t>
  </si>
  <si>
    <t>2010-01-25</t>
  </si>
  <si>
    <t>UPS1: 160 kVA
UPS2: 50 kVA</t>
  </si>
  <si>
    <t>UPS1: 2225 kVA
UPS2: 2500 kVA</t>
  </si>
  <si>
    <t>Output -
UPS1,2,3: 30kW
UPS4: 40kW
UPS5,6: 44.6kW</t>
  </si>
  <si>
    <t>2400kW=3000kVA
power factor=0.8
kW/PF=kVA</t>
  </si>
  <si>
    <t>UPS1: 1500 kVA
UPS2: 3000 kVA</t>
  </si>
  <si>
    <t>2x 500 kVA Liebert UPS</t>
  </si>
  <si>
    <t>5x 1100 kVA UPS</t>
  </si>
  <si>
    <t>Table A: Basic Information</t>
  </si>
  <si>
    <t>Input Options</t>
  </si>
  <si>
    <t>User's Input Value</t>
  </si>
  <si>
    <t>Question Number</t>
  </si>
  <si>
    <t>N+ &gt;1 or 2(N+ ≥1)</t>
  </si>
  <si>
    <t>Action 1</t>
  </si>
  <si>
    <t>Action 2</t>
  </si>
  <si>
    <t>Action 3</t>
  </si>
  <si>
    <t>Input Option(s) Resulting in No Action Required</t>
  </si>
  <si>
    <t>Insufficient Information</t>
  </si>
  <si>
    <t>Potential Actions</t>
  </si>
  <si>
    <t xml:space="preserve">What is the building power factor? </t>
  </si>
  <si>
    <t>How are the lights controlled in the data center?</t>
  </si>
  <si>
    <t>years</t>
  </si>
  <si>
    <t>Simple Payback</t>
  </si>
  <si>
    <t>$</t>
  </si>
  <si>
    <t>kWh/yr</t>
  </si>
  <si>
    <t>$/yr</t>
  </si>
  <si>
    <t>Savings</t>
  </si>
  <si>
    <t>Questions, Input Options, User's Inputs</t>
  </si>
  <si>
    <t>Color Key</t>
  </si>
  <si>
    <t>Is an Infra-Red test performed on electrical systems regularly?</t>
  </si>
  <si>
    <t>Is a power analyzer installed at the main feeder panel for critical components?</t>
  </si>
  <si>
    <t>What is the nominal size of UPS module in kW?</t>
  </si>
  <si>
    <t>Investigate building total harmonic current distortion (THD) at main feeder panel.</t>
  </si>
  <si>
    <t>Investigate power source for generator block heater(s).</t>
  </si>
  <si>
    <t>Investigate if block heater(s) operate with thermostat control.</t>
  </si>
  <si>
    <t>Investigate if non-critical loads are fed from the UPS.</t>
  </si>
  <si>
    <t>Pursue Action?</t>
  </si>
  <si>
    <t>Is Action Recommended?</t>
  </si>
  <si>
    <t>Evaluation to Perform if Input is "Do not know"</t>
  </si>
  <si>
    <t>N/A</t>
  </si>
  <si>
    <t>Messages</t>
  </si>
  <si>
    <t>Investigate building power factor.</t>
  </si>
  <si>
    <t>Cost to Implement</t>
  </si>
  <si>
    <t>Actions Pursued</t>
  </si>
  <si>
    <t>Pre-Implementation Performance Level</t>
  </si>
  <si>
    <t>Implementation Cost</t>
  </si>
  <si>
    <t>Post-Implementation Performance Level</t>
  </si>
  <si>
    <t>Instructions</t>
  </si>
  <si>
    <t>Estimated Savings</t>
  </si>
  <si>
    <t>&gt;1.5 W/sf</t>
  </si>
  <si>
    <t>≤1.5 W/sf</t>
  </si>
  <si>
    <t>Potential Actions Based on User's Inputs</t>
  </si>
  <si>
    <t>Do not know.</t>
  </si>
  <si>
    <t>B1</t>
  </si>
  <si>
    <t>B2</t>
  </si>
  <si>
    <t>B3</t>
  </si>
  <si>
    <t>B4</t>
  </si>
  <si>
    <t>B5</t>
  </si>
  <si>
    <t>B6</t>
  </si>
  <si>
    <t>B7</t>
  </si>
  <si>
    <t>B8</t>
  </si>
  <si>
    <t>B9</t>
  </si>
  <si>
    <t>A1</t>
  </si>
  <si>
    <t>A2</t>
  </si>
  <si>
    <t>A3</t>
  </si>
  <si>
    <t>Table A Description</t>
  </si>
  <si>
    <t>Table B Description</t>
  </si>
  <si>
    <t>C1</t>
  </si>
  <si>
    <t>C2</t>
  </si>
  <si>
    <t>C3</t>
  </si>
  <si>
    <t>C4</t>
  </si>
  <si>
    <t>C5</t>
  </si>
  <si>
    <t>C6</t>
  </si>
  <si>
    <t>C7</t>
  </si>
  <si>
    <t>C8</t>
  </si>
  <si>
    <t>C9</t>
  </si>
  <si>
    <t>C10</t>
  </si>
  <si>
    <t>Table C Description</t>
  </si>
  <si>
    <t>Table AA: Basic Information</t>
  </si>
  <si>
    <t>AA1</t>
  </si>
  <si>
    <t>AA2</t>
  </si>
  <si>
    <t>AA3</t>
  </si>
  <si>
    <t>AA4</t>
  </si>
  <si>
    <t>Table AA Description</t>
  </si>
  <si>
    <t>BB1</t>
  </si>
  <si>
    <t>BB2</t>
  </si>
  <si>
    <t>BB3</t>
  </si>
  <si>
    <t>BB4</t>
  </si>
  <si>
    <t>BB5</t>
  </si>
  <si>
    <t>BB6</t>
  </si>
  <si>
    <t>BB7</t>
  </si>
  <si>
    <t>BB8</t>
  </si>
  <si>
    <t>BB9</t>
  </si>
  <si>
    <t>BB10</t>
  </si>
  <si>
    <t>BB11</t>
  </si>
  <si>
    <t>BB12</t>
  </si>
  <si>
    <t>BB13</t>
  </si>
  <si>
    <t>BB14</t>
  </si>
  <si>
    <t>BB15</t>
  </si>
  <si>
    <t>BB16</t>
  </si>
  <si>
    <t>BB17</t>
  </si>
  <si>
    <t>BB18</t>
  </si>
  <si>
    <t>BB19</t>
  </si>
  <si>
    <t>BB20</t>
  </si>
  <si>
    <t>BB21</t>
  </si>
  <si>
    <t>BB22</t>
  </si>
  <si>
    <t>Table BB Description</t>
  </si>
  <si>
    <t>Column</t>
  </si>
  <si>
    <t>Input Option(s) Resulting in Potential Actions</t>
  </si>
  <si>
    <t>Option 1</t>
  </si>
  <si>
    <t>Option 2</t>
  </si>
  <si>
    <t>Option 3</t>
  </si>
  <si>
    <t>Input Option Resulting in No Action Required</t>
  </si>
  <si>
    <t>Lookup Tables: Estimated Percent Savings Due to Performance Improvement</t>
  </si>
  <si>
    <t>Estimated Savings and Simple Payback Calculations</t>
  </si>
  <si>
    <t>Q21</t>
  </si>
  <si>
    <t>Q22</t>
  </si>
  <si>
    <t>Q23</t>
  </si>
  <si>
    <t>Q24</t>
  </si>
  <si>
    <t>Q25</t>
  </si>
  <si>
    <t>Q26</t>
  </si>
  <si>
    <t>Q27</t>
  </si>
  <si>
    <t>Q28</t>
  </si>
  <si>
    <t>Q29</t>
  </si>
  <si>
    <t>Q30</t>
  </si>
  <si>
    <t>Q31</t>
  </si>
  <si>
    <t>Q33</t>
  </si>
  <si>
    <t>Q34</t>
  </si>
  <si>
    <t>Q35</t>
  </si>
  <si>
    <t>Q37</t>
  </si>
  <si>
    <t>Q38</t>
  </si>
  <si>
    <t>Column B3 contains the user's answers to the questions.  All of the cells in this column present a list of possible answers to select from.</t>
  </si>
  <si>
    <t>Table B: Efficiency Information and Potential Actions</t>
  </si>
  <si>
    <t>Table C: Estimated Results for Pursued Actions</t>
  </si>
  <si>
    <t>Headings</t>
  </si>
  <si>
    <t>Font</t>
  </si>
  <si>
    <t>Color</t>
  </si>
  <si>
    <t>B</t>
  </si>
  <si>
    <t>G</t>
  </si>
  <si>
    <t>Source</t>
  </si>
  <si>
    <t>Dark Green</t>
  </si>
  <si>
    <t>Medium Green</t>
  </si>
  <si>
    <t>Light Green</t>
  </si>
  <si>
    <t>Franklin Gothic Medium</t>
  </si>
  <si>
    <t>Fills</t>
  </si>
  <si>
    <t>Selected for this workbook.</t>
  </si>
  <si>
    <t>Developer Notes</t>
  </si>
  <si>
    <t>Generic Name</t>
  </si>
  <si>
    <t>Light Blue</t>
  </si>
  <si>
    <t>Sample</t>
  </si>
  <si>
    <t>Heading</t>
  </si>
  <si>
    <t>FEMP report template for Word, front cover.</t>
  </si>
  <si>
    <t>FEMP report template for Word.</t>
  </si>
  <si>
    <t>Fonts and Colors</t>
  </si>
  <si>
    <t>92%(rated), 78.5%(measured)</t>
  </si>
  <si>
    <t>UPS1:68% UPS2:87% UPS3:81% UPS4: 86% UPS5: 85%</t>
  </si>
  <si>
    <t>UPS1:89.6 UPS2:47.3 combined:83.9</t>
  </si>
  <si>
    <t>Loss of UPS: 7%</t>
  </si>
  <si>
    <t>load factor = 20%</t>
  </si>
  <si>
    <t>unknown</t>
  </si>
  <si>
    <t>Ref. Tschudi report</t>
  </si>
  <si>
    <t>7% of DC is occupied, 
with 100% occupancy the total IT load=590kW, area=8.56ksft; 
computer load density=68kw/sf</t>
  </si>
  <si>
    <t>from summary</t>
  </si>
  <si>
    <t>DC area missing</t>
  </si>
  <si>
    <t>Measured UPS Output kW / Measured UPS Input kW</t>
  </si>
  <si>
    <t>UPS Rating</t>
  </si>
  <si>
    <t>DC Floor Area</t>
  </si>
  <si>
    <t>Floor Area</t>
  </si>
  <si>
    <t>ksf</t>
  </si>
  <si>
    <t>IT Avg Power Density (Actual)</t>
  </si>
  <si>
    <t xml:space="preserve">IT Avg Power (actual) /
DC Floor Area
If IT avg is NA then use total IT power </t>
  </si>
  <si>
    <t>UPS Load Factor</t>
  </si>
  <si>
    <t>Additional Notes
(load factor, avg power drawn, # UPS, UPS power and hours)</t>
  </si>
  <si>
    <t>KT</t>
  </si>
  <si>
    <t>IT Power / UPS Load Capacity</t>
  </si>
  <si>
    <t>Bench-mark Number</t>
  </si>
  <si>
    <t>Comments</t>
  </si>
  <si>
    <t>Data Center Electrical Power Chain Assessment Tool</t>
  </si>
  <si>
    <t>User Inputs</t>
  </si>
  <si>
    <t>Peer Comparison</t>
  </si>
  <si>
    <t>USER INPUTS</t>
  </si>
  <si>
    <t>DCEE Toolkit</t>
  </si>
  <si>
    <t>More Information</t>
  </si>
  <si>
    <t>SAVINGS SUMMARY</t>
  </si>
  <si>
    <r>
      <t>Table D: Estimated Savings</t>
    </r>
    <r>
      <rPr>
        <sz val="10"/>
        <rFont val="Arial Narrow"/>
        <family val="2"/>
      </rPr>
      <t>.</t>
    </r>
  </si>
  <si>
    <t>ACTION RESULTS</t>
  </si>
  <si>
    <t>Action Results</t>
  </si>
  <si>
    <t>Savings Summary</t>
  </si>
  <si>
    <t>Electric Power Chain</t>
  </si>
  <si>
    <t>Total</t>
  </si>
  <si>
    <t>Table DD: Estimated Savings</t>
  </si>
  <si>
    <t>Table BB: Efficiency Information and Potential Actions</t>
  </si>
  <si>
    <t>Body Text</t>
  </si>
  <si>
    <t>Arial Narrow</t>
  </si>
  <si>
    <t>Default (black)</t>
  </si>
  <si>
    <t>Body text</t>
  </si>
  <si>
    <t>Load Factor</t>
  </si>
  <si>
    <t>What is the floor area of support spaces (UPS, generator,etc) in sq. ft.?</t>
  </si>
  <si>
    <t>Table DD Description</t>
  </si>
  <si>
    <t>DD1</t>
  </si>
  <si>
    <t>DD2</t>
  </si>
  <si>
    <t>DD3</t>
  </si>
  <si>
    <t>DD4</t>
  </si>
  <si>
    <t>DD5</t>
  </si>
  <si>
    <t>DD6</t>
  </si>
  <si>
    <t>DD7</t>
  </si>
  <si>
    <t>Item</t>
  </si>
  <si>
    <t>Table A</t>
  </si>
  <si>
    <t>Table B</t>
  </si>
  <si>
    <t>[whole number &gt;= 0]</t>
  </si>
  <si>
    <t>[decimal number &gt;= 0]</t>
  </si>
  <si>
    <t>Column C9 asks for the dollar cost to implement the pursued action(s).</t>
  </si>
  <si>
    <t>Table D Description</t>
  </si>
  <si>
    <t>D1</t>
  </si>
  <si>
    <t>D2</t>
  </si>
  <si>
    <t>D3</t>
  </si>
  <si>
    <t>Lighting System</t>
  </si>
  <si>
    <t>Content provided by the tool developer.</t>
  </si>
  <si>
    <t>SUPPORT FOR TABLE B</t>
  </si>
  <si>
    <t>SUPPORT FOR TABLE A</t>
  </si>
  <si>
    <t>Headings and separators.</t>
  </si>
  <si>
    <t>Unused cells.</t>
  </si>
  <si>
    <t>Space for future expansion, if needed.</t>
  </si>
  <si>
    <t>Temp rise ≥150 C and age &gt;15 years old.</t>
  </si>
  <si>
    <t>Temp rise ≥150 C and age ≤15 years old.</t>
  </si>
  <si>
    <t>Temp rise &lt; 150 C and age ≥ 15 years old.</t>
  </si>
  <si>
    <t>Temp rise &lt; 150 C and age &lt; 15 years old.</t>
  </si>
  <si>
    <t>Utility power.</t>
  </si>
  <si>
    <t>Alternate power source, e.g. solar.</t>
  </si>
  <si>
    <t>No.</t>
  </si>
  <si>
    <t>Yes.</t>
  </si>
  <si>
    <t>UPS.</t>
  </si>
  <si>
    <t>Direct current (DC).</t>
  </si>
  <si>
    <t>Alternating current (AC).</t>
  </si>
  <si>
    <t>Investigate if IT racks are fed from an AC or DC power source.</t>
  </si>
  <si>
    <t>Double conversion.</t>
  </si>
  <si>
    <t>Delta conversion.</t>
  </si>
  <si>
    <t>Rotary.</t>
  </si>
  <si>
    <t>Flywheel.</t>
  </si>
  <si>
    <t>Other.</t>
  </si>
  <si>
    <t>ESTIMATED SAVINGS CALCULATIONS</t>
  </si>
  <si>
    <t>E1</t>
  </si>
  <si>
    <t>E2</t>
  </si>
  <si>
    <t>E3</t>
  </si>
  <si>
    <t>E4</t>
  </si>
  <si>
    <t>E5</t>
  </si>
  <si>
    <t>E6</t>
  </si>
  <si>
    <t>E7</t>
  </si>
  <si>
    <t>E8</t>
  </si>
  <si>
    <t>E9</t>
  </si>
  <si>
    <t>E10</t>
  </si>
  <si>
    <t>E11</t>
  </si>
  <si>
    <t>E12</t>
  </si>
  <si>
    <t>E13</t>
  </si>
  <si>
    <t>E14</t>
  </si>
  <si>
    <t>E15</t>
  </si>
  <si>
    <t>E16</t>
  </si>
  <si>
    <t>E17</t>
  </si>
  <si>
    <t>E18</t>
  </si>
  <si>
    <t>E19</t>
  </si>
  <si>
    <t>E20</t>
  </si>
  <si>
    <t>E21</t>
  </si>
  <si>
    <t>E22</t>
  </si>
  <si>
    <t>E23</t>
  </si>
  <si>
    <t>This tool presents energy-saving actions only by name. For guidance on implementing the actions, see the Master List.</t>
  </si>
  <si>
    <t>Estimated savings and simple payback for pursued actions.</t>
  </si>
  <si>
    <t>Estimated total savings for pursued actions.</t>
  </si>
  <si>
    <t>Benchmarks for UPS load factor and IT power density.</t>
  </si>
  <si>
    <t>https://datacenters.lbl.gov/tools</t>
  </si>
  <si>
    <t>This workbook is part of a tool suite for addressing energy efficiency in data centers.</t>
  </si>
  <si>
    <t xml:space="preserve">The tools are available here: </t>
  </si>
  <si>
    <t>Questions about your data center's IT electric power chain and lighting systems.
Suggested energy-saving actions.</t>
  </si>
  <si>
    <t>Complete data were not available for all data centers - hence the gaps in the charts.</t>
  </si>
  <si>
    <t>Your Data Center</t>
  </si>
  <si>
    <t>Redefine the Print Areas for all tabs.</t>
  </si>
  <si>
    <t>Evaluation to Perform if Input is "Do not know."</t>
  </si>
  <si>
    <t>Install a Modular UPS.</t>
  </si>
  <si>
    <t>Shut Down UPS Modules when Redundancy Level is High Enough.</t>
  </si>
  <si>
    <t>Right-Size the UPS.</t>
  </si>
  <si>
    <t>Replace the UPS with a More Efficient Unit.</t>
  </si>
  <si>
    <t>Use High Efficiency MV and LV Transformers.</t>
  </si>
  <si>
    <t>Maintain Power Factor at Main Feeder Panel at 0.90 or Higher.</t>
  </si>
  <si>
    <t>Maintain Total Harmonic Distortion at Main Feeder Panel at 5% or Less.</t>
  </si>
  <si>
    <t>Change UPS DC Capacitors.</t>
  </si>
  <si>
    <t>Retrofit IT Equipment to Maintain High Power Factor and Low Total Harmonic Distortion.</t>
  </si>
  <si>
    <t>Use Alternate Power Source to Warm Generator Blocks.</t>
  </si>
  <si>
    <t>Apply Thermostat Control to Generator Block Heaters.</t>
  </si>
  <si>
    <t>Ensure Non-Critical Loads are Not Connected to the UPS.</t>
  </si>
  <si>
    <t>Maintain Balanced Loads Between Phases.</t>
  </si>
  <si>
    <t>Q32</t>
  </si>
  <si>
    <t>Supply DC Voltage to IT Rack.</t>
  </si>
  <si>
    <t>Yes, sufficient light is provided only to the areas that need it.</t>
  </si>
  <si>
    <t>LED.</t>
  </si>
  <si>
    <t>Compact Fluorescent (CFL) or T12 Fluorescent.</t>
  </si>
  <si>
    <t>T8 Fluorescent.</t>
  </si>
  <si>
    <t>T5 Fluorescent.</t>
  </si>
  <si>
    <t>Is the data center lighting well-designed?</t>
  </si>
  <si>
    <t>Coordinate Light Fixture Placement with IT Equipment Placement.</t>
  </si>
  <si>
    <t>No, the data center is over-lit and/or light is provided where it is not needed.</t>
  </si>
  <si>
    <t>Illuminate Work Areas Only.</t>
  </si>
  <si>
    <t>No control (always on).</t>
  </si>
  <si>
    <t>Timeclock.</t>
  </si>
  <si>
    <t>Manual Control.</t>
  </si>
  <si>
    <t>Occupancy Sensor.</t>
  </si>
  <si>
    <t>Q36</t>
  </si>
  <si>
    <t>Install Occupancy Sensors to Control Lights.</t>
  </si>
  <si>
    <t>Control Lighting with a Timeclock.</t>
  </si>
  <si>
    <t>Implement Manually Controlled Zone Lighting Control.</t>
  </si>
  <si>
    <t>Install Linear Fluorescent T8 Fixtures.</t>
  </si>
  <si>
    <t>Install Linear Fluorescent T5 Fixtures.</t>
  </si>
  <si>
    <t>Install LED Fixtures.</t>
  </si>
  <si>
    <t>What is the total UPS input load in kW?</t>
  </si>
  <si>
    <t>What is the UPS type?</t>
  </si>
  <si>
    <t>What is the total UPS output load in kW?</t>
  </si>
  <si>
    <t>What is the data center floor area in sq. ft.?</t>
  </si>
  <si>
    <t>What is the lighting density in the data center?</t>
  </si>
  <si>
    <t>Not applicable (no UPS).</t>
  </si>
  <si>
    <t>Are the loads balanced between all phases for the transformers, UPSs, and PDUs?</t>
  </si>
  <si>
    <t>What is the age and type of the main transformer serving the IT power chain?</t>
  </si>
  <si>
    <t>N/A (no main IT transformer).</t>
  </si>
  <si>
    <t>N/A (no UPS).</t>
  </si>
  <si>
    <t>Calc.</t>
  </si>
  <si>
    <t>Balanced to within 10% or less.</t>
  </si>
  <si>
    <t>Determine the load balance between phases for all transformers, UPSs, and PDUs.</t>
  </si>
  <si>
    <t>Determine the age and type of the main  transformer serving the IT power chain.</t>
  </si>
  <si>
    <t>N/A (no transformers in PDUs).</t>
  </si>
  <si>
    <t>What is the age and type of the transformers in the PDUs?</t>
  </si>
  <si>
    <t>Determine the age and type of the transformers in the PDUs.</t>
  </si>
  <si>
    <t>What is the average load factor for the active PDUs that contain transformers?</t>
  </si>
  <si>
    <t>Consolidate Transformer Loads</t>
  </si>
  <si>
    <t>Determine the load factors for active PDUs that contain a transformer.</t>
  </si>
  <si>
    <t>Measure the  IT equipment power factor.</t>
  </si>
  <si>
    <t>Investigate the effectiveness of data center lighting.</t>
  </si>
  <si>
    <t>Investigate how the data center lighting is controlled.</t>
  </si>
  <si>
    <t>What type of lamps are installed in the data center?</t>
  </si>
  <si>
    <t>Investigate the type of lighting installed in th data center.</t>
  </si>
  <si>
    <t>What will the new UPS load factor be?</t>
  </si>
  <si>
    <t>Are the UPS DC capacitors &gt;5 years old?</t>
  </si>
  <si>
    <t>Determine if UPS DC capacitors are older than 5 years.</t>
  </si>
  <si>
    <t>What will the average load factor for the active PDUs that contain transformers be?</t>
  </si>
  <si>
    <t>What is the power source for the IT racks?</t>
  </si>
  <si>
    <t>What is the power source for the emergency generator block heater(s)?</t>
  </si>
  <si>
    <t>Post-Implementation Performance</t>
  </si>
  <si>
    <t>Out of balance by more than 10%.</t>
  </si>
  <si>
    <t>Valid Pursuit</t>
  </si>
  <si>
    <t>Answered Before Action Presented</t>
  </si>
  <si>
    <t>B11</t>
  </si>
  <si>
    <t>B10</t>
  </si>
  <si>
    <t>If you answer "Do not know", column B5 will suggest an evaluation to perform.</t>
  </si>
  <si>
    <t>What is the total load capacity of all active UPS modules in kW?</t>
  </si>
  <si>
    <t>What is the annual electrical energy use of the IT power chain in kWh/yr?</t>
  </si>
  <si>
    <t>What is the annual IT equipment energy use in kWh/yr?</t>
  </si>
  <si>
    <t>The text for each question is supplied by the (normally hidden) Table AA tab.</t>
  </si>
  <si>
    <t>The text for each question is supplied by the (normally hidden) Table BB tab.</t>
  </si>
  <si>
    <t>Only the green shaded cells require input.</t>
  </si>
  <si>
    <t>The Savings Summary tab presents total savings.</t>
  </si>
  <si>
    <t>The text for each question is entered here by the tool developer; the User Inputs tab reads and displays these cells.</t>
  </si>
  <si>
    <t>This column supplies the options for the pull-down lists on the User Inputs tab.</t>
  </si>
  <si>
    <t>This column simply repeats the input values from the User Inputs tab, for trouble-shooting purposes.</t>
  </si>
  <si>
    <t>What is the total annual lighting energy use in kWh/yr for the facility?</t>
  </si>
  <si>
    <t>BB23</t>
  </si>
  <si>
    <t>BB24</t>
  </si>
  <si>
    <t>BB25</t>
  </si>
  <si>
    <t>BB26</t>
  </si>
  <si>
    <t>BB27</t>
  </si>
  <si>
    <t>Any Pursued Actions?</t>
  </si>
  <si>
    <t>This column shows how many potential actions this tool can suggest in response to the user's input for each question.  Most questions currently have only one potential action; some have more.</t>
  </si>
  <si>
    <t>These three columns show the actions that will be presented in response to the user's input.  If the user inputs the option shown under the Option 1 heading, the actions listed under Option 1 will be presented.  Likewise for Option 2 and Option 3.</t>
  </si>
  <si>
    <t>If the user inputs the option shown under this heading, no actions are presented.</t>
  </si>
  <si>
    <t>If the user inputs "Do not know", the text listed below this heading provides a suggestion on how to obtain the requested information.</t>
  </si>
  <si>
    <t>On the Action Results tab, if the user indicated that they will pursue any of the presented actions, then the value in this column is "Yes", otherwise "No".</t>
  </si>
  <si>
    <t>This column simply repeats the input values from column C9 on the Action Results tab.</t>
  </si>
  <si>
    <t>This is calculated as the implemention cost (column BB26), divided by the energy cost savings (column BB25).</t>
  </si>
  <si>
    <t>Workbook currently does not ask for post-implementation UPS capacity.</t>
  </si>
  <si>
    <t>DC_BM_data</t>
  </si>
  <si>
    <t>Need citation for source of the benchmark data.</t>
  </si>
  <si>
    <t>Your Data Center, After</t>
  </si>
  <si>
    <t>Tool assumes floor area does not change.</t>
  </si>
  <si>
    <t>Tool assumes IT equipment load does not change.</t>
  </si>
  <si>
    <t>The bottom two rows of Table E include calculations based on the user's input data to this tool.</t>
  </si>
  <si>
    <t>UPS EFFICIENCY</t>
  </si>
  <si>
    <t>This tool addresses both the IT power chain and the lighting system.</t>
  </si>
  <si>
    <t>IT Power Chain</t>
  </si>
  <si>
    <t>Q1</t>
  </si>
  <si>
    <t>Q2</t>
  </si>
  <si>
    <t>Q3</t>
  </si>
  <si>
    <t>Q4</t>
  </si>
  <si>
    <t>Q5</t>
  </si>
  <si>
    <t>Q6</t>
  </si>
  <si>
    <t>Q7</t>
  </si>
  <si>
    <t>Q8</t>
  </si>
  <si>
    <t>Q9</t>
  </si>
  <si>
    <t>Q10</t>
  </si>
  <si>
    <t>Q11</t>
  </si>
  <si>
    <t>Q12</t>
  </si>
  <si>
    <t>Q13</t>
  </si>
  <si>
    <t>Q14</t>
  </si>
  <si>
    <t>Q15</t>
  </si>
  <si>
    <t>Q16</t>
  </si>
  <si>
    <t>Q17</t>
  </si>
  <si>
    <t>Q18</t>
  </si>
  <si>
    <t>Q19</t>
  </si>
  <si>
    <t>Q20</t>
  </si>
  <si>
    <t>Q39</t>
  </si>
  <si>
    <t>DD8</t>
  </si>
  <si>
    <t>Summation</t>
  </si>
  <si>
    <t>Percent Savings</t>
  </si>
  <si>
    <t>Annual Energy Savings</t>
  </si>
  <si>
    <t>Annual Energy Cost Savings</t>
  </si>
  <si>
    <t>Limit</t>
  </si>
  <si>
    <t>Adjusted</t>
  </si>
  <si>
    <t>DD9</t>
  </si>
  <si>
    <t>DD10</t>
  </si>
  <si>
    <t>The savings for the IT power chain and the lighting system are both currently  capped at 30%.</t>
  </si>
  <si>
    <t>Minimum of the values in columns DD2 and DD5.</t>
  </si>
  <si>
    <t>Minimum of the values in columns DD3 and DD6.</t>
  </si>
  <si>
    <t>Minimum of the values in columns DD4 and DD7.</t>
  </si>
  <si>
    <t>From column DD9 on the Table DD tab.</t>
  </si>
  <si>
    <t>From column DD10 on the Table DD tab.</t>
  </si>
  <si>
    <t>Total savings for the IT power chain is capped at 30% of the total IT power chain loss.</t>
  </si>
  <si>
    <t>Total savings for lighting is capped at 30% of the total lighting energy use.</t>
  </si>
  <si>
    <t>These question numbers reference the questions presented in Table B on the User Inputs tab.</t>
  </si>
  <si>
    <t>The numbers in column C2 show how many potential actions this tool can suggest in response to the questions.</t>
  </si>
  <si>
    <t>Column C3 presents the actions the user elected to pursue on the User Inputs tab.</t>
  </si>
  <si>
    <t>This tool assumes the new building power factor will be:</t>
  </si>
  <si>
    <t>This tool assumes the new building total harmonic current distortion (THD) at the main feeder panel will be:</t>
  </si>
  <si>
    <t>This tool assumes the new loads on all phases for the transformers, UPSs, and PDUs will be:</t>
  </si>
  <si>
    <t>This tool assumes the new age and type of the main transformer serving the IT power chain will be:</t>
  </si>
  <si>
    <t>This tool assumes the UPS DC capacitors will be replaced with new ones.</t>
  </si>
  <si>
    <t>This tool assumes that non-critical loads will no longer be served by the UPS.</t>
  </si>
  <si>
    <t>This tool assumes the new age and type of the transformers in the PDUs will be:</t>
  </si>
  <si>
    <t>This tool assumes the new power factor for the IT equipment will be:</t>
  </si>
  <si>
    <t>This tool assumes the new power source for the IT racks will be:</t>
  </si>
  <si>
    <t>This tool assumes the new power source for the emergency generator block heater(s) will be:</t>
  </si>
  <si>
    <t>This tool assumes the block heater(s)/heater water jacket for emergency generator(s) will be equipped with with thermostat control.</t>
  </si>
  <si>
    <t>This tool assumes the data center lighting will be reconfigured to provide light only to the areas that need it.</t>
  </si>
  <si>
    <t>This column supplies the text for the questions/assumptions that populate column C4 on the Action Results tab.</t>
  </si>
  <si>
    <t>This column supplies the options for the pull-down lists in column C5 on the Action Results tab, for the questions that have more than one post-implementation option.</t>
  </si>
  <si>
    <t>The top of each lookup table repeats the input options from column BB3.
The body of each lookup table is populated with percent savings values provided by the tool developer.  These are estimates based on engineering experience.  These lookup tables are referred to by the formulas in column BB23.</t>
  </si>
  <si>
    <t>Predicted Post-Implementation Performance</t>
  </si>
  <si>
    <t>For the questions that have multiple post-implementation options, a pull-down list is provided.</t>
  </si>
  <si>
    <t>The values in these three columns are provided by the Table BB tab.</t>
  </si>
  <si>
    <t>Enter the estimated implementation cost for the actions.  If replacing equipment at end-of-life, use the cost difference between the high efficiency new equipment and the standard efficiency new equipment (assuming the former has a higher cost than the latter).</t>
  </si>
  <si>
    <t>The values in this column is provided by the Table BB tab.</t>
  </si>
  <si>
    <t>Table AA</t>
  </si>
  <si>
    <t>Table BB</t>
  </si>
  <si>
    <t>Table DD</t>
  </si>
  <si>
    <t>Developer</t>
  </si>
  <si>
    <t>Tabs</t>
  </si>
  <si>
    <t>Not used in this workbook yet.</t>
  </si>
  <si>
    <t>Lookup table for the operating efficiency of double-conversion UPSs of recent manufacture.</t>
  </si>
  <si>
    <t>Step 2: Predict the post-implementation performance and the implementation cost of pursued actions on the Action Results tab.</t>
  </si>
  <si>
    <t>Step 1: Answer questions and select applicable actions to pursue on the User Inputs tab.</t>
  </si>
  <si>
    <t>Step 3: The Savings Summary tab presents the total predicted savings.</t>
  </si>
  <si>
    <t>Step 4: The Peer Comparison tab compares some metrics of your data center to a set of other benchmarked data centers.</t>
  </si>
  <si>
    <t>This tool presents more actions that the Electrical &amp; Lighting sections of DC Pro (https://datacenters.lbl.gov/dcpro), but less than the Data Center Master List of Energy Efficiency Actions (https://datacenters.lbl.gov/resources/data-center-master-list-energy).</t>
  </si>
  <si>
    <t>This workbook contains hidden tabs that support the visible ones.  To see how the workbook calculates its results, the tabs can be unhidden.</t>
  </si>
  <si>
    <t>Excel version:</t>
  </si>
  <si>
    <t>Excel 2007 &amp; later (xlsx).</t>
  </si>
  <si>
    <t>Color pallette/theme:</t>
  </si>
  <si>
    <t>Excel 2010</t>
  </si>
  <si>
    <t>Use</t>
  </si>
  <si>
    <t>Table rows (first, third, fifth, etc).</t>
  </si>
  <si>
    <t>Lightest Green</t>
  </si>
  <si>
    <t>Table Blue</t>
  </si>
  <si>
    <t>Light Gray</t>
  </si>
  <si>
    <t>Medium Gray</t>
  </si>
  <si>
    <t>User input fields.</t>
  </si>
  <si>
    <t>Headings.</t>
  </si>
  <si>
    <t>Content provided by developer.</t>
  </si>
  <si>
    <t>Tasks before public release</t>
  </si>
  <si>
    <t>Insert release date in the Overview tab (and in the filename?)</t>
  </si>
  <si>
    <t>Delete the ID tab.</t>
  </si>
  <si>
    <t>DATA CENTER BENCHMARKS</t>
  </si>
  <si>
    <t>Table E: Data Center Benchmarks</t>
  </si>
  <si>
    <t>UPS DATA</t>
  </si>
  <si>
    <t>F1</t>
  </si>
  <si>
    <t>F2</t>
  </si>
  <si>
    <t>F3</t>
  </si>
  <si>
    <t>F4</t>
  </si>
  <si>
    <t>F5</t>
  </si>
  <si>
    <t>F6</t>
  </si>
  <si>
    <t>F7</t>
  </si>
  <si>
    <t>F8</t>
  </si>
  <si>
    <t>F9</t>
  </si>
  <si>
    <t>F10</t>
  </si>
  <si>
    <t>F11</t>
  </si>
  <si>
    <t>F12</t>
  </si>
  <si>
    <t>F13</t>
  </si>
  <si>
    <t>F14</t>
  </si>
  <si>
    <t>F15</t>
  </si>
  <si>
    <t>F16</t>
  </si>
  <si>
    <t>F17</t>
  </si>
  <si>
    <t>F18</t>
  </si>
  <si>
    <t>Model</t>
  </si>
  <si>
    <t>Capacity</t>
  </si>
  <si>
    <t>Year</t>
  </si>
  <si>
    <t>500 kW</t>
  </si>
  <si>
    <t>Table F: UPS Efficiency Data</t>
  </si>
  <si>
    <t>AVERAGE</t>
  </si>
  <si>
    <t>Symmetra MW</t>
  </si>
  <si>
    <t>Symmetra PX</t>
  </si>
  <si>
    <t>Galaxy VX</t>
  </si>
  <si>
    <t>500 - 1500 kW</t>
  </si>
  <si>
    <t>250 - 500 kW</t>
  </si>
  <si>
    <t>400 - 1600 kW</t>
  </si>
  <si>
    <t>600 kW</t>
  </si>
  <si>
    <t>https://download.schneider-electric.com/files?&amp;p_enDocType=Specification%20guide&amp;p_File_Name=MBPN-A7TE49_R5_EN.pdf&amp;p_Doc_Ref=SPD_MBPN-A7TE49_EN</t>
  </si>
  <si>
    <t>https://download.schneider-electric.com/files?&amp;p_enDocType=Specification%20guide&amp;p_File_Name=MBPN-9QECL6_R4_EN.pdf&amp;p_Doc_Ref=SPD_MBPN-9QECL6_EN</t>
  </si>
  <si>
    <t>https://download.schneider-electric.com/files?&amp;p_enDocType=Specification%20guide&amp;p_File_Name=MBPN-9N5KL3_R0_EN.pdf&amp;p_Doc_Ref=SPD_MBPN-9N5KL3_EN</t>
  </si>
  <si>
    <t>Table AA provides content to support Table A on the User Inputs tab.</t>
  </si>
  <si>
    <t>This tab is normally hidden.  There is no user data entry on this tab.</t>
  </si>
  <si>
    <t>Table BB provides content to support Table B on the Action Results tab, and performs savings calculations.</t>
  </si>
  <si>
    <t>Further description is provided at the bottom right of this tab.</t>
  </si>
  <si>
    <t>User's input data, copied from the User Inputs and Action Results tabs.</t>
  </si>
  <si>
    <t>This tab calculates the values that populate Table D on the Savings Summary tab.</t>
  </si>
  <si>
    <t>Data from columns E11 and E19 are used to populate the charts on the Peer Comparison tab.</t>
  </si>
  <si>
    <t>This tab holds formatting and coding notes for this workbook.</t>
  </si>
  <si>
    <t>Hide tabs that are meant to be hidden, protect the tabs, and verify the workbook still works as intended.</t>
  </si>
  <si>
    <t>This tab.</t>
  </si>
  <si>
    <t>This tab accepts information from the user, and presents potential actions to pursue.</t>
  </si>
  <si>
    <t>Additional description is provided at the bottom right of this tab.</t>
  </si>
  <si>
    <t>This tab presents the pursued actions from the User Inputs tab, asks for some additional information, and then calculates savings and simple payback.</t>
  </si>
  <si>
    <t>Table D presents the estimated total savings for the pursued actions listed on the Action Results tab.</t>
  </si>
  <si>
    <t>User's input data, copied from the User Inputs tab.</t>
  </si>
  <si>
    <t>There is no user data entry on this tab.</t>
  </si>
  <si>
    <t>All UPSs shown here are 480-volt models, of 500 kW or 600 kW capacity.</t>
  </si>
  <si>
    <t>If any UPS here has "eco-mode" capability, the efficiency data presented here represents the UPS NOT operating in eco-mode.</t>
  </si>
  <si>
    <t>The source documents provide numeric efficiency values only at four load factors: 25%, 50%, 75%, 100% (green shaded cells below).</t>
  </si>
  <si>
    <t>Some source documents provide a graphic efficiency curve.  In these cases, the efficiency values in the non-shaded cells were estimated by examining the graphs.</t>
  </si>
  <si>
    <t>The remaining efficiency values in the non-shaded cells were estimated by ensuring a smooth curve in the chart shown below.</t>
  </si>
  <si>
    <t>This tab presents data for a sampling of modern, double-conversion, relatively efficient UPSs.</t>
  </si>
  <si>
    <t>The average values at the bottom of the table are intended to represent a typical, modern, efficient double-conversion UPS.</t>
  </si>
  <si>
    <t>This data is drawn from the UPS_data tab.  It represents a typical double-conversion, 480-volt, modern (2014 to 2017), relatively efficient, UPS of 500 to 600 kW capacity.</t>
  </si>
  <si>
    <t>Load Factor:</t>
  </si>
  <si>
    <t>Efficiency:</t>
  </si>
  <si>
    <t xml:space="preserve">This tool does not completely safeguard against unreasonable numeric inputs. </t>
  </si>
  <si>
    <t>Column C4 is similar to column B2 on the User Inputs tab, but this time it is:
a) Stating the assumed post-implementation performance, or
b) Asking for the predicted performance after the actions have been implemented.</t>
  </si>
  <si>
    <t>Answering questions 3 and 6 on the User Inputs tab will populate the "Your Data Center" point in the IT Power Density chart.</t>
  </si>
  <si>
    <t>Answering questions 1 and 3 on the User Inputs tab will populate the "Your Data Center" point in the UPS Load Factor chart.</t>
  </si>
  <si>
    <t>Answering question 28 on the Action Results tab will populate the "Your Data Center, After" point on the UPS Load Factor chart.</t>
  </si>
  <si>
    <t>Table BB supports questions number 22 through 39.</t>
  </si>
  <si>
    <t>Questions 27 and 28 involve an intermediate calculation, performed on the User Inputs tab.  This column simply repeats these values from the User Inputs tab, for trouble-shooting purposes.</t>
  </si>
  <si>
    <t>With the exception of Question 28, columns BB16 through BB20 contain lookup tables.  Column BB16 repeats the input options from column BB3.</t>
  </si>
  <si>
    <t>Column BB21 repeats the user-selected option from column BB4.
Exception: For question 27, the calculated UPS load factor in column BB5 is converted to one of the three options listed in column BB3.</t>
  </si>
  <si>
    <t>Column BB22 repeats the user-selected option from column BB15.
Exception:  For Question 28, the predicted post-implementation UPS load factor shown in column BB15 is used to look up the predicted post-implementation UPS efficiency value from the UPS Efficiency tab.</t>
  </si>
  <si>
    <t>If columns BB21 and BB22 contain valid options, the estimated percent savings is drawn from the corresponding lookup table in columns BB16 through BB20.
Exception: For question 28, the percent savings is calculated as column BB22 minus column BB21.</t>
  </si>
  <si>
    <t xml:space="preserve">Questions 22 through 36:  The annual energy savings are calculated as the percent value in column BB23 times the annual energy loss in the IT branch of the power chain.  The latter value is calculated on the User Inputs tab, below Table A.
Exception:  For question 28, the annual energy savings are calculated as (1/BB21 - 1/BB22) * Q3 * 8760 hrs/yr.
Questions 37 through 39: The annual energy savings are calculated as the percent value in column BB23 times the annual energy use of the lighting system. The latter value is provided by the user in response to question 7 on the User Inputs tab.
</t>
  </si>
  <si>
    <t>The annual energy cost savings is simply the energy savings from column BB24 times the annual average unit cost of electricity (question 8 on the User Inputs tab).</t>
  </si>
  <si>
    <t>Range of UPS Capacities Available in Model Line</t>
  </si>
  <si>
    <t>Source of Technical Specifications</t>
  </si>
  <si>
    <t>2020-02-24</t>
  </si>
  <si>
    <t>What is the UPS manufacturer's claimed efficiency at the calculated load factor shown below?</t>
  </si>
  <si>
    <t>[percentage &gt;= 0%]</t>
  </si>
  <si>
    <t>The user's answers to Questions 10 through 22 are currently not used by this tool.</t>
  </si>
  <si>
    <t>Calculations</t>
  </si>
  <si>
    <t>Clicking on the cells in column A3 provides pop-up guidance.</t>
  </si>
  <si>
    <t>Provide basic information about your data center by answering questions 1 through 9.</t>
  </si>
  <si>
    <t>Questions 1, 6, and 9 must be answered before this tool can estimate annual savings for the electric power chain.</t>
  </si>
  <si>
    <t>Additionally, question 8 must be answered before estimated annual lighting system savings can be calculated.</t>
  </si>
  <si>
    <t>Yes</t>
  </si>
  <si>
    <t>Is there an active UPS?</t>
  </si>
  <si>
    <t>Is the UPS operating in eco-mode?</t>
  </si>
  <si>
    <t>This tool assumes the UPS eco-mode feature will be activated.</t>
  </si>
  <si>
    <t>N/A (No UPS, or no eco-mode capability).</t>
  </si>
  <si>
    <t>No</t>
  </si>
  <si>
    <t>Determine if you have any active UPS modules.</t>
  </si>
  <si>
    <t>Action 4</t>
  </si>
  <si>
    <t>Determine if the UPS has eco-mode capability.</t>
  </si>
  <si>
    <t>Value</t>
  </si>
  <si>
    <t>Answer questions 23 through 39 by selecting an option from the drop-down lists in column B3.</t>
  </si>
  <si>
    <t>Annual energy loss in the IT branch of the electric power chain, in kWh/yr.  This is calculated as Question 1 minus Question 6.  Power chain savings are expressed as a percent of this value.</t>
  </si>
  <si>
    <t>Table B contains questions number 23 through 39.</t>
  </si>
  <si>
    <t>Table A contains questions number 1 through 22.  The answers to Questions 10 through 22 are currently not used by this tool.</t>
  </si>
  <si>
    <t xml:space="preserve">This column contains the user's answers to the questions.  Questions 1-9, 15-17, and 19 require a numeric input; all the rest provide a pull-down list to select from.  This tool does not completely safeguard against unreasonable numeric inputs. </t>
  </si>
  <si>
    <t>If the user selects "Do not know" in column B3 for any of the questions, column B4 suggests steps to take that will produce the requested information.</t>
  </si>
  <si>
    <t>Based on the user's input in column B3, column B5 will contain one of three possible phrases:
"Not yet" is shown when the answer provided in column B3 is "Do not know".
"Yes" is shown if the user selects an answer in column B3 that indicates there is room for an efficiency improvement.
"No" is shown if the user selects an answer in column B3 that indicates that the system in question is efficient enough to not warrant potential actions.</t>
  </si>
  <si>
    <t>The numbers in column B6 show how many potential actions this tool can suggest in response to the questions.</t>
  </si>
  <si>
    <t>If the phrase in column B5 is "Yes", then column B7 will list one or more potential energy-saving actions to take.  If the phrase in column B5 is "Not yet", or "No", then column B7 will contain the phrase "N/A".</t>
  </si>
  <si>
    <t>For the potential actions presented in column B7, the user can indicate their intent to pursue each of them by selecting Yes, No, or N/A in column B8.</t>
  </si>
  <si>
    <t>This column is normally hidden.  It performs an intermediate calculation in order to simplify formulas.  If column B7 is not "N/A" and column B8 is "Yes", then column B9 is "Yes", otherwise it is "No".</t>
  </si>
  <si>
    <t>This column is normally hidden.  It performs an intermediate calculation in order to simplify formulas.  If column B7 is "N/A" and column B8 is not "N/A", then column B10 is "Yes", otherwise it is "No".</t>
  </si>
  <si>
    <t>If column B10 is "Yes", then the user is reminded that a potential action has not been presented yet.
If there is a potential action presented, and the user selects "Yes" in column B8, then the action is carried over to Actions Summary tab.  If the user selects "No", it is not.
If two or more mutually exlusive actions are presented in column B7, and the user selects "Yes" in column B8 for more than one of them, then the user is asked to pick only one.</t>
  </si>
  <si>
    <t>If your answer indicates the given system probably already has high efficiency, column B5 will be "No", and the potential action(s) will be "N/A".</t>
  </si>
  <si>
    <t>If your answer indicates there may be room for improvement, column B5 will be "Yes", and one or more potential actions will be presented.</t>
  </si>
  <si>
    <t>Column B8 provides the ability to select particular actions to pursue.  If you answer "Yes" to a potential action, it will be carried over to the Action Results tab.</t>
  </si>
  <si>
    <t>Savings for the IT power chain (questions 23 through 36) are expressed as a percent of the annual energy loss in the IT power chain.</t>
  </si>
  <si>
    <t>Savings for the lighting system (questions 37, 38, 39) are expressed as a percent of the total annual lighting energy use (question 8 in Table A on the User Inputs tab).</t>
  </si>
  <si>
    <t>Table AA supports questions number 1 through 22.  The answers to Questions 10 through 22 are currently not used by this tool.</t>
  </si>
  <si>
    <t>IT Power Chain: Sum of percents in column C6 on the Action Results tab, for questions 23 through 36.
Lighting System: Sum of percents in column C6 on the Action Results tab, for questions 37 through 39.
This tool does not consider interactive effects between actions, other than placing a cap on the maximum savings; see columnd DD5 - DD7.</t>
  </si>
  <si>
    <t>IT Power Chain: Sum of energy savings in column C7 on the Action Results tab, for questions 23 through 36.
Lighting System: Sum of energy savings in column C7 on the Action Results tab, for questions 37 through 39.</t>
  </si>
  <si>
    <t>IT Power Chain: Sum of energy cost savings in column C8 on the Action Results tab, for questions 23 through 36.
Lighting System: Sum of energy cost savings in column C8 on the Action Results tab, for questions 37 through 39.</t>
  </si>
  <si>
    <t>IT Power Chain: The maximum annual energy savings are calculated as the percent in column DD5 times the Annual Energy Loss in the IT Branch of the Electric Power Chain shown in the Calculations section of the User Inputs tab.
Lighting System: The maximum annual energy savings are calculated as the percent in column DD5 times the total annual lighting energy use in kWh/yr for the facility (question 8 on the User Inputs tab).</t>
  </si>
  <si>
    <t>Annual energy cost savings are calculated as annual energy savings (column DD6) times the annual average unit cost of electricity (question 9 on the User Inputs tab).</t>
  </si>
  <si>
    <t>From Question 27, post-implementation.</t>
  </si>
  <si>
    <t>kVA: Workbook currently does not ask for kVA.
kW: From Question 3 (asks for ACTIVE capacity).</t>
  </si>
  <si>
    <t>From Calculations section of User Inputs tab.</t>
  </si>
  <si>
    <t>From Question 7.</t>
  </si>
  <si>
    <t>From Questions 2 and 7.</t>
  </si>
  <si>
    <t>If there are no pursued actions, this column is set to "N/A".  Otherwise, it:
a) Contains the assumed post-implementation performance, or
b) Repeats the input values from column C5 on the Action Results tab.</t>
  </si>
  <si>
    <t>UPS load factor (Question 2 divided by Question 3).</t>
  </si>
  <si>
    <t>UPS total input load in kW. Repeats the answer to Question 4 if it is non-zero, or calculates it as Question 2 (UPS output) divided by Question 5 (UPS efficiency).</t>
  </si>
  <si>
    <t>UPS efficiency. If the answer to Question 4 is non-zero, then the efficiency is calculated as Question 2 (UPS output) divided by Question 4 (UPS input).  Otherwise, the answer to Question 5 (UPS efficiency) is repeated here.</t>
  </si>
  <si>
    <t>Implement a Switching UPS</t>
  </si>
  <si>
    <t>The lights will be controlled in the data center by:</t>
  </si>
  <si>
    <t>The new type of lamps to be installed in the data center are:</t>
  </si>
  <si>
    <t>This assessment tool is designed to help data center owners assess the potential savings from efficiency actions in two branches of the electrical power chain of a data center:
1. The IT branch, i.e. transformers, generators, UPSs, and PDUs.
2. The lighting system branch.</t>
  </si>
  <si>
    <t>This tool is not a detailed "investment-grade" audit tool. The savings estimates are based on typical practice. Actual savings will vary based on site-specific conditions.  This tool does not account for interactive effects among energy-saving actions, other than placing a cap on the maximum savings.</t>
  </si>
  <si>
    <t xml:space="preserve">Version 2.1 </t>
  </si>
  <si>
    <t>Lawrence Berkeley National Laboratory (LBNL) and EYP Mission Critical Facilities originally developed this tool for the U.S. Department of Energy (DOE). The developers acknowledge helpful reviews by experts from ANCIS Incorporated, Emerson, EPRI and Syska Hennessey. LBNL and Traber Engineers updated and upgraded the tool in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</si>
</sst>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0%"/>
    <numFmt numFmtId="166" formatCode="_(&quot;$&quot;* #,##0_);_(&quot;$&quot;* \(#,##0\);_(&quot;$&quot;* &quot;-&quot;??_);_(@_)"/>
    <numFmt numFmtId="167" formatCode="#,##0.0"/>
  </numFmts>
  <fonts count="32" x14ac:knownFonts="1">
    <font>
      <sz val="10"/>
      <name val="Arial"/>
    </font>
    <font>
      <sz val="10"/>
      <name val="Arial"/>
      <family val="2"/>
    </font>
    <font>
      <u/>
      <sz val="10"/>
      <color indexed="12"/>
      <name val="Arial"/>
      <family val="2"/>
    </font>
    <font>
      <sz val="8"/>
      <name val="Arial"/>
      <family val="2"/>
    </font>
    <font>
      <sz val="10"/>
      <name val="Arial Narrow"/>
      <family val="2"/>
    </font>
    <font>
      <b/>
      <sz val="10"/>
      <name val="Arial Narrow"/>
      <family val="2"/>
    </font>
    <font>
      <b/>
      <sz val="10"/>
      <color indexed="17"/>
      <name val="Arial Narrow"/>
      <family val="2"/>
    </font>
    <font>
      <sz val="10"/>
      <color indexed="10"/>
      <name val="Arial Narrow"/>
      <family val="2"/>
    </font>
    <font>
      <b/>
      <sz val="10"/>
      <color indexed="12"/>
      <name val="Arial Narrow"/>
      <family val="2"/>
    </font>
    <font>
      <b/>
      <sz val="10"/>
      <color indexed="57"/>
      <name val="Arial Narrow"/>
      <family val="2"/>
    </font>
    <font>
      <sz val="16"/>
      <name val="Arial Narrow"/>
      <family val="2"/>
    </font>
    <font>
      <i/>
      <sz val="10"/>
      <name val="Arial Narrow"/>
      <family val="2"/>
    </font>
    <font>
      <b/>
      <sz val="10"/>
      <color indexed="10"/>
      <name val="Arial Narrow"/>
      <family val="2"/>
    </font>
    <font>
      <sz val="10"/>
      <name val="Franklin Gothic Medium"/>
      <family val="2"/>
    </font>
    <font>
      <sz val="16"/>
      <name val="Franklin Gothic Medium"/>
      <family val="2"/>
    </font>
    <font>
      <sz val="10"/>
      <color theme="0"/>
      <name val="Arial Narrow"/>
      <family val="2"/>
    </font>
    <font>
      <b/>
      <sz val="10"/>
      <color theme="1"/>
      <name val="Arial Narrow"/>
      <family val="2"/>
    </font>
    <font>
      <sz val="16"/>
      <color rgb="FF017A3E"/>
      <name val="Franklin Gothic Medium"/>
      <family val="2"/>
    </font>
    <font>
      <sz val="16"/>
      <color rgb="FFFF0000"/>
      <name val="Arial Narrow"/>
      <family val="2"/>
    </font>
    <font>
      <sz val="10"/>
      <color rgb="FFFF0000"/>
      <name val="Arial Narrow"/>
      <family val="2"/>
    </font>
    <font>
      <b/>
      <sz val="10"/>
      <color theme="0"/>
      <name val="Arial Narrow"/>
      <family val="2"/>
    </font>
    <font>
      <sz val="16"/>
      <color theme="0"/>
      <name val="Franklin Gothic Medium"/>
      <family val="2"/>
    </font>
    <font>
      <sz val="14"/>
      <color theme="0"/>
      <name val="Franklin Gothic Medium"/>
      <family val="2"/>
    </font>
    <font>
      <u/>
      <sz val="10"/>
      <color indexed="12"/>
      <name val="Arial Narrow"/>
      <family val="2"/>
    </font>
    <font>
      <sz val="16"/>
      <color rgb="FF017A3E"/>
      <name val="Arial Narrow"/>
      <family val="2"/>
    </font>
    <font>
      <sz val="11"/>
      <color rgb="FF017A3E"/>
      <name val="Franklin Gothic Medium"/>
      <family val="2"/>
    </font>
    <font>
      <sz val="16"/>
      <color rgb="FFFF0000"/>
      <name val="Franklin Gothic Medium"/>
      <family val="2"/>
    </font>
    <font>
      <sz val="11"/>
      <color rgb="FFC00000"/>
      <name val="Arial Narrow"/>
      <family val="2"/>
    </font>
    <font>
      <sz val="12"/>
      <color rgb="FF017A3E"/>
      <name val="Franklin Gothic Medium"/>
      <family val="2"/>
    </font>
    <font>
      <sz val="12"/>
      <name val="Arial Narrow"/>
      <family val="2"/>
    </font>
    <font>
      <sz val="12"/>
      <color rgb="FFFF0000"/>
      <name val="Arial Narrow"/>
      <family val="2"/>
    </font>
    <font>
      <b/>
      <sz val="12"/>
      <color indexed="10"/>
      <name val="Arial Narrow"/>
      <family val="2"/>
    </font>
  </fonts>
  <fills count="2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CFFFF"/>
        <bgColor indexed="64"/>
      </patternFill>
    </fill>
    <fill>
      <patternFill patternType="solid">
        <fgColor theme="0" tint="-0.34998626667073579"/>
        <bgColor indexed="64"/>
      </patternFill>
    </fill>
    <fill>
      <patternFill patternType="solid">
        <fgColor rgb="FF4FAC37"/>
        <bgColor indexed="64"/>
      </patternFill>
    </fill>
    <fill>
      <patternFill patternType="solid">
        <fgColor theme="0" tint="-0.249977111117893"/>
        <bgColor indexed="64"/>
      </patternFill>
    </fill>
    <fill>
      <patternFill patternType="solid">
        <fgColor rgb="FF017A3E"/>
        <bgColor indexed="64"/>
      </patternFill>
    </fill>
    <fill>
      <patternFill patternType="solid">
        <fgColor rgb="FF92D050"/>
        <bgColor indexed="64"/>
      </patternFill>
    </fill>
    <fill>
      <patternFill patternType="solid">
        <fgColor rgb="FFE5EFEB"/>
        <bgColor indexed="64"/>
      </patternFill>
    </fill>
    <fill>
      <patternFill patternType="solid">
        <fgColor rgb="FFC9E7A7"/>
        <bgColor indexed="64"/>
      </patternFill>
    </fill>
    <fill>
      <patternFill patternType="solid">
        <fgColor theme="1"/>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0" tint="-0.499984740745262"/>
        <bgColor indexed="64"/>
      </patternFill>
    </fill>
    <fill>
      <patternFill patternType="solid">
        <fgColor rgb="FF7030A0"/>
        <bgColor indexed="64"/>
      </patternFill>
    </fill>
    <fill>
      <patternFill patternType="solid">
        <fgColor theme="5" tint="0.59999389629810485"/>
        <bgColor indexed="64"/>
      </patternFill>
    </fill>
    <fill>
      <patternFill patternType="solid">
        <fgColor theme="6"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09">
    <xf numFmtId="0" fontId="0" fillId="0" borderId="0" xfId="0"/>
    <xf numFmtId="0" fontId="4" fillId="0" borderId="0" xfId="0" applyFont="1" applyBorder="1" applyAlignment="1">
      <alignment horizontal="left" vertical="top" wrapText="1"/>
    </xf>
    <xf numFmtId="164" fontId="4" fillId="0" borderId="0" xfId="0" applyNumberFormat="1"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xf>
    <xf numFmtId="0" fontId="4" fillId="0" borderId="0" xfId="0" applyFont="1" applyFill="1" applyAlignment="1">
      <alignment vertical="top"/>
    </xf>
    <xf numFmtId="0" fontId="4" fillId="0" borderId="0" xfId="0" applyFont="1" applyFill="1" applyAlignment="1">
      <alignment horizontal="left" vertical="top" wrapText="1"/>
    </xf>
    <xf numFmtId="164" fontId="4" fillId="0" borderId="0" xfId="0" applyNumberFormat="1" applyFont="1" applyFill="1" applyAlignment="1">
      <alignment horizontal="left" vertical="top" wrapText="1"/>
    </xf>
    <xf numFmtId="0" fontId="4" fillId="0" borderId="0" xfId="0" applyFont="1" applyBorder="1" applyAlignment="1">
      <alignment vertical="top"/>
    </xf>
    <xf numFmtId="0" fontId="4" fillId="0" borderId="0" xfId="0" applyFont="1" applyFill="1" applyBorder="1" applyAlignment="1">
      <alignment vertical="top"/>
    </xf>
    <xf numFmtId="0" fontId="4" fillId="0" borderId="1" xfId="0" applyFont="1" applyFill="1" applyBorder="1" applyAlignment="1">
      <alignment vertical="top"/>
    </xf>
    <xf numFmtId="0" fontId="4" fillId="0" borderId="0" xfId="0" applyFont="1" applyFill="1" applyAlignment="1">
      <alignment vertical="top" wrapText="1"/>
    </xf>
    <xf numFmtId="0" fontId="4" fillId="0" borderId="1" xfId="0" applyFont="1" applyBorder="1" applyAlignment="1">
      <alignment horizontal="center" vertical="center" wrapText="1"/>
    </xf>
    <xf numFmtId="0" fontId="4" fillId="0" borderId="1" xfId="0" applyFont="1" applyFill="1" applyBorder="1" applyAlignment="1">
      <alignment vertical="top" wrapText="1"/>
    </xf>
    <xf numFmtId="0" fontId="4" fillId="0" borderId="1" xfId="0" applyFont="1" applyBorder="1" applyAlignment="1">
      <alignment vertical="top"/>
    </xf>
    <xf numFmtId="0" fontId="4" fillId="0" borderId="1" xfId="0" applyFont="1" applyFill="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xf>
    <xf numFmtId="0" fontId="11" fillId="0" borderId="0" xfId="0" applyFont="1" applyAlignment="1">
      <alignment horizontal="left" vertical="top"/>
    </xf>
    <xf numFmtId="0" fontId="4" fillId="0" borderId="12"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Border="1" applyAlignment="1">
      <alignment vertical="center"/>
    </xf>
    <xf numFmtId="0" fontId="4" fillId="0" borderId="0" xfId="0" applyFont="1"/>
    <xf numFmtId="0" fontId="4" fillId="0" borderId="0" xfId="0" applyFont="1" applyFill="1" applyBorder="1"/>
    <xf numFmtId="0" fontId="4" fillId="0" borderId="0" xfId="0" applyFont="1" applyAlignment="1">
      <alignment wrapText="1"/>
    </xf>
    <xf numFmtId="0" fontId="12" fillId="0" borderId="0" xfId="0" applyFont="1" applyAlignment="1">
      <alignment vertical="top"/>
    </xf>
    <xf numFmtId="0" fontId="4" fillId="0" borderId="0" xfId="0" applyFont="1" applyAlignment="1"/>
    <xf numFmtId="0" fontId="15" fillId="0" borderId="0" xfId="0" applyFont="1" applyFill="1"/>
    <xf numFmtId="0" fontId="4" fillId="0" borderId="0" xfId="0" applyFont="1" applyFill="1"/>
    <xf numFmtId="0" fontId="4" fillId="0" borderId="1" xfId="0" quotePrefix="1" applyFont="1" applyFill="1" applyBorder="1" applyAlignment="1">
      <alignment horizontal="left" vertical="top" wrapText="1"/>
    </xf>
    <xf numFmtId="0" fontId="17" fillId="0" borderId="0" xfId="0" applyFont="1" applyFill="1" applyAlignment="1">
      <alignment vertical="top"/>
    </xf>
    <xf numFmtId="0" fontId="4" fillId="0" borderId="0" xfId="0" applyFont="1" applyFill="1" applyAlignment="1">
      <alignment wrapText="1"/>
    </xf>
    <xf numFmtId="2" fontId="4" fillId="0" borderId="1" xfId="0" applyNumberFormat="1" applyFont="1" applyFill="1" applyBorder="1" applyAlignment="1">
      <alignment horizontal="left" vertical="top" wrapText="1"/>
    </xf>
    <xf numFmtId="164" fontId="4" fillId="0" borderId="1" xfId="0" applyNumberFormat="1" applyFont="1" applyFill="1" applyBorder="1" applyAlignment="1">
      <alignment horizontal="left" vertical="top" wrapText="1"/>
    </xf>
    <xf numFmtId="2" fontId="4" fillId="0" borderId="1" xfId="0" applyNumberFormat="1" applyFont="1" applyFill="1" applyBorder="1" applyAlignment="1">
      <alignment vertical="top"/>
    </xf>
    <xf numFmtId="2" fontId="4" fillId="0" borderId="1" xfId="0" applyNumberFormat="1" applyFont="1" applyFill="1" applyBorder="1" applyAlignment="1">
      <alignment vertical="top" wrapText="1"/>
    </xf>
    <xf numFmtId="0" fontId="4" fillId="0" borderId="21" xfId="0" applyFont="1" applyFill="1" applyBorder="1" applyAlignment="1">
      <alignment horizontal="left" vertical="top" wrapText="1"/>
    </xf>
    <xf numFmtId="164" fontId="4" fillId="0" borderId="26" xfId="0" applyNumberFormat="1" applyFont="1" applyFill="1" applyBorder="1" applyAlignment="1">
      <alignment horizontal="center" vertical="center" wrapText="1"/>
    </xf>
    <xf numFmtId="164" fontId="4" fillId="0" borderId="21" xfId="0" applyNumberFormat="1" applyFont="1" applyFill="1" applyBorder="1" applyAlignment="1">
      <alignment horizontal="left" vertical="top" wrapText="1"/>
    </xf>
    <xf numFmtId="0" fontId="4" fillId="0" borderId="26" xfId="0" applyFont="1" applyFill="1" applyBorder="1" applyAlignment="1">
      <alignment horizontal="center" vertical="center" wrapText="1"/>
    </xf>
    <xf numFmtId="2" fontId="4" fillId="0" borderId="27" xfId="0" applyNumberFormat="1" applyFont="1" applyFill="1" applyBorder="1" applyAlignment="1">
      <alignment vertical="top"/>
    </xf>
    <xf numFmtId="2" fontId="4" fillId="0" borderId="21" xfId="0" applyNumberFormat="1" applyFont="1" applyFill="1" applyBorder="1" applyAlignment="1">
      <alignment vertical="top"/>
    </xf>
    <xf numFmtId="0" fontId="4" fillId="0" borderId="28" xfId="0" applyFont="1" applyFill="1" applyBorder="1" applyAlignment="1">
      <alignment horizontal="left" vertical="top" wrapText="1"/>
    </xf>
    <xf numFmtId="0" fontId="4" fillId="2" borderId="1" xfId="0" applyFont="1" applyFill="1" applyBorder="1" applyAlignment="1">
      <alignment vertical="top" wrapText="1"/>
    </xf>
    <xf numFmtId="0" fontId="4" fillId="5" borderId="1" xfId="0" applyFont="1" applyFill="1" applyBorder="1" applyAlignment="1">
      <alignment vertical="top" wrapText="1"/>
    </xf>
    <xf numFmtId="2" fontId="4" fillId="0" borderId="21" xfId="0" applyNumberFormat="1" applyFont="1" applyFill="1" applyBorder="1" applyAlignment="1">
      <alignment horizontal="left" vertical="top" wrapText="1"/>
    </xf>
    <xf numFmtId="164" fontId="4" fillId="0" borderId="27" xfId="0" applyNumberFormat="1" applyFont="1" applyFill="1" applyBorder="1" applyAlignment="1">
      <alignment horizontal="right" vertical="top" wrapText="1"/>
    </xf>
    <xf numFmtId="2" fontId="4" fillId="0" borderId="27" xfId="0" applyNumberFormat="1" applyFont="1" applyFill="1" applyBorder="1" applyAlignment="1">
      <alignment horizontal="right" vertical="top" wrapText="1"/>
    </xf>
    <xf numFmtId="0" fontId="4" fillId="0" borderId="27" xfId="0" applyFont="1" applyFill="1" applyBorder="1" applyAlignment="1">
      <alignment horizontal="center" vertical="top" wrapText="1"/>
    </xf>
    <xf numFmtId="2" fontId="4" fillId="0" borderId="27" xfId="0" applyNumberFormat="1" applyFont="1" applyFill="1" applyBorder="1" applyAlignment="1">
      <alignment horizontal="center" vertical="top" wrapText="1"/>
    </xf>
    <xf numFmtId="3" fontId="4" fillId="0" borderId="27" xfId="0" applyNumberFormat="1"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3" fontId="4" fillId="0" borderId="29" xfId="0" applyNumberFormat="1" applyFont="1" applyFill="1" applyBorder="1" applyAlignment="1">
      <alignment horizontal="right" vertical="top" wrapText="1"/>
    </xf>
    <xf numFmtId="3" fontId="4" fillId="0" borderId="22" xfId="0" applyNumberFormat="1" applyFont="1" applyFill="1" applyBorder="1" applyAlignment="1">
      <alignment horizontal="right" vertical="top" wrapText="1"/>
    </xf>
    <xf numFmtId="0" fontId="4" fillId="0" borderId="30" xfId="0" applyFont="1" applyFill="1" applyBorder="1" applyAlignment="1">
      <alignment horizontal="left" vertical="top" wrapText="1"/>
    </xf>
    <xf numFmtId="164" fontId="4" fillId="0" borderId="29" xfId="0" applyNumberFormat="1" applyFont="1" applyFill="1" applyBorder="1" applyAlignment="1">
      <alignment horizontal="right" vertical="top" wrapText="1"/>
    </xf>
    <xf numFmtId="164" fontId="4" fillId="0" borderId="22" xfId="0" applyNumberFormat="1" applyFont="1" applyFill="1" applyBorder="1" applyAlignment="1">
      <alignment horizontal="left" vertical="top" wrapText="1"/>
    </xf>
    <xf numFmtId="164" fontId="4" fillId="0" borderId="30" xfId="0" applyNumberFormat="1" applyFont="1" applyFill="1" applyBorder="1" applyAlignment="1">
      <alignment horizontal="left" vertical="top" wrapText="1"/>
    </xf>
    <xf numFmtId="2" fontId="4" fillId="0" borderId="29" xfId="0" applyNumberFormat="1" applyFont="1" applyFill="1" applyBorder="1" applyAlignment="1">
      <alignment horizontal="right" vertical="top" wrapText="1"/>
    </xf>
    <xf numFmtId="2" fontId="4" fillId="0" borderId="22" xfId="0" applyNumberFormat="1" applyFont="1" applyFill="1" applyBorder="1" applyAlignment="1">
      <alignment horizontal="left" vertical="top" wrapText="1"/>
    </xf>
    <xf numFmtId="2" fontId="4" fillId="0" borderId="30" xfId="0" applyNumberFormat="1" applyFont="1" applyFill="1" applyBorder="1" applyAlignment="1">
      <alignment horizontal="left" vertical="top" wrapText="1"/>
    </xf>
    <xf numFmtId="4" fontId="4" fillId="0" borderId="29" xfId="0" applyNumberFormat="1" applyFont="1" applyFill="1" applyBorder="1" applyAlignment="1">
      <alignment horizontal="center" vertical="top" wrapText="1"/>
    </xf>
    <xf numFmtId="2" fontId="4" fillId="0" borderId="29" xfId="0" applyNumberFormat="1" applyFont="1" applyFill="1" applyBorder="1" applyAlignment="1">
      <alignment vertical="top"/>
    </xf>
    <xf numFmtId="2" fontId="4" fillId="0" borderId="22" xfId="0" applyNumberFormat="1" applyFont="1" applyFill="1" applyBorder="1" applyAlignment="1">
      <alignment vertical="top"/>
    </xf>
    <xf numFmtId="2" fontId="4" fillId="0" borderId="30" xfId="0" applyNumberFormat="1" applyFont="1" applyFill="1" applyBorder="1" applyAlignment="1">
      <alignment vertical="top"/>
    </xf>
    <xf numFmtId="0" fontId="4" fillId="0" borderId="31" xfId="0" applyFont="1" applyFill="1" applyBorder="1" applyAlignment="1">
      <alignment horizontal="left" vertical="top" wrapText="1"/>
    </xf>
    <xf numFmtId="0" fontId="4" fillId="0" borderId="3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0" borderId="31"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0" borderId="33" xfId="0" applyFont="1" applyFill="1" applyBorder="1" applyAlignment="1">
      <alignment horizontal="center" vertical="top" wrapText="1"/>
    </xf>
    <xf numFmtId="3" fontId="4" fillId="0" borderId="26" xfId="0" applyNumberFormat="1" applyFont="1" applyFill="1" applyBorder="1" applyAlignment="1">
      <alignment horizontal="right" vertical="top" wrapText="1"/>
    </xf>
    <xf numFmtId="3" fontId="4" fillId="0" borderId="2" xfId="0" applyNumberFormat="1" applyFont="1" applyFill="1" applyBorder="1" applyAlignment="1">
      <alignment horizontal="right" vertical="top" wrapText="1"/>
    </xf>
    <xf numFmtId="0" fontId="4" fillId="0" borderId="2" xfId="0" quotePrefix="1" applyFont="1" applyFill="1" applyBorder="1" applyAlignment="1">
      <alignment horizontal="left" vertical="top" wrapText="1"/>
    </xf>
    <xf numFmtId="0" fontId="4" fillId="0" borderId="34" xfId="0" applyFont="1" applyFill="1" applyBorder="1" applyAlignment="1">
      <alignment horizontal="left" vertical="top" wrapText="1"/>
    </xf>
    <xf numFmtId="164" fontId="4" fillId="0" borderId="26" xfId="0" applyNumberFormat="1" applyFont="1" applyFill="1" applyBorder="1" applyAlignment="1">
      <alignment horizontal="right" vertical="top" wrapText="1"/>
    </xf>
    <xf numFmtId="164" fontId="4" fillId="0" borderId="2" xfId="0" applyNumberFormat="1" applyFont="1" applyFill="1" applyBorder="1" applyAlignment="1">
      <alignment horizontal="left" vertical="top" wrapText="1"/>
    </xf>
    <xf numFmtId="2" fontId="4" fillId="0" borderId="26" xfId="0" applyNumberFormat="1" applyFont="1" applyFill="1" applyBorder="1" applyAlignment="1">
      <alignment horizontal="right" vertical="top" wrapText="1"/>
    </xf>
    <xf numFmtId="2" fontId="4" fillId="0" borderId="2" xfId="0" applyNumberFormat="1" applyFont="1" applyFill="1" applyBorder="1" applyAlignment="1">
      <alignment horizontal="left" vertical="top" wrapText="1"/>
    </xf>
    <xf numFmtId="2" fontId="4" fillId="0" borderId="34" xfId="0" applyNumberFormat="1" applyFont="1" applyFill="1" applyBorder="1" applyAlignment="1">
      <alignment horizontal="left" vertical="top" wrapText="1"/>
    </xf>
    <xf numFmtId="2" fontId="4" fillId="0" borderId="26" xfId="0" applyNumberFormat="1" applyFont="1" applyFill="1" applyBorder="1" applyAlignment="1">
      <alignment horizontal="center" vertical="top" wrapText="1"/>
    </xf>
    <xf numFmtId="2" fontId="4" fillId="0" borderId="2" xfId="0" applyNumberFormat="1" applyFont="1" applyFill="1" applyBorder="1" applyAlignment="1">
      <alignment vertical="top" wrapText="1"/>
    </xf>
    <xf numFmtId="2" fontId="4" fillId="0" borderId="26" xfId="0" applyNumberFormat="1" applyFont="1" applyFill="1" applyBorder="1" applyAlignment="1">
      <alignment vertical="top" wrapText="1"/>
    </xf>
    <xf numFmtId="0" fontId="4" fillId="0" borderId="33" xfId="0" applyFont="1" applyFill="1" applyBorder="1" applyAlignment="1">
      <alignment horizontal="left" vertical="top" wrapText="1"/>
    </xf>
    <xf numFmtId="0" fontId="4" fillId="0" borderId="12" xfId="0" applyFont="1" applyFill="1" applyBorder="1" applyAlignment="1">
      <alignment horizontal="center" vertical="top" wrapText="1"/>
    </xf>
    <xf numFmtId="3" fontId="4" fillId="2" borderId="10" xfId="0" applyNumberFormat="1" applyFont="1" applyFill="1" applyBorder="1" applyAlignment="1">
      <alignment horizontal="right" vertical="top" wrapText="1"/>
    </xf>
    <xf numFmtId="14" fontId="4" fillId="0" borderId="11" xfId="0" quotePrefix="1" applyNumberFormat="1" applyFont="1" applyFill="1" applyBorder="1" applyAlignment="1">
      <alignment horizontal="left" vertical="top" wrapText="1"/>
    </xf>
    <xf numFmtId="0" fontId="4" fillId="0" borderId="19" xfId="0" applyFont="1" applyFill="1" applyBorder="1" applyAlignment="1">
      <alignment horizontal="left" vertical="top" wrapText="1"/>
    </xf>
    <xf numFmtId="164" fontId="4" fillId="0" borderId="11" xfId="0" applyNumberFormat="1" applyFont="1" applyFill="1" applyBorder="1" applyAlignment="1">
      <alignment horizontal="left" vertical="top" wrapText="1"/>
    </xf>
    <xf numFmtId="0" fontId="19" fillId="0" borderId="0" xfId="0" applyFont="1" applyFill="1" applyAlignment="1">
      <alignment vertical="top"/>
    </xf>
    <xf numFmtId="0" fontId="20" fillId="12" borderId="1" xfId="0" applyFont="1" applyFill="1" applyBorder="1" applyAlignment="1">
      <alignment vertical="top"/>
    </xf>
    <xf numFmtId="0" fontId="5" fillId="13" borderId="1" xfId="0" applyFont="1" applyFill="1" applyBorder="1" applyAlignment="1">
      <alignment vertical="top"/>
    </xf>
    <xf numFmtId="0" fontId="19" fillId="0" borderId="0" xfId="0" applyFont="1" applyAlignment="1">
      <alignment horizontal="center" vertical="top"/>
    </xf>
    <xf numFmtId="0" fontId="5" fillId="14" borderId="1" xfId="0" applyFont="1" applyFill="1" applyBorder="1" applyAlignment="1">
      <alignment vertical="top"/>
    </xf>
    <xf numFmtId="0" fontId="5" fillId="15" borderId="1" xfId="0" applyFont="1" applyFill="1" applyBorder="1" applyAlignment="1">
      <alignment vertical="top"/>
    </xf>
    <xf numFmtId="0" fontId="20" fillId="16" borderId="1" xfId="0" applyFont="1" applyFill="1" applyBorder="1" applyAlignment="1">
      <alignment vertical="top"/>
    </xf>
    <xf numFmtId="0" fontId="20" fillId="17" borderId="1" xfId="0" applyFont="1" applyFill="1" applyBorder="1" applyAlignment="1">
      <alignment vertical="top"/>
    </xf>
    <xf numFmtId="0" fontId="21" fillId="17" borderId="0" xfId="0" applyFont="1" applyFill="1" applyAlignment="1">
      <alignment vertical="top"/>
    </xf>
    <xf numFmtId="10" fontId="4" fillId="0" borderId="0" xfId="0" applyNumberFormat="1" applyFont="1"/>
    <xf numFmtId="0" fontId="4" fillId="0" borderId="0" xfId="0" applyNumberFormat="1" applyFont="1"/>
    <xf numFmtId="165" fontId="4" fillId="0" borderId="0" xfId="0" applyNumberFormat="1" applyFont="1"/>
    <xf numFmtId="0" fontId="15" fillId="17" borderId="0" xfId="0" applyFont="1" applyFill="1" applyAlignment="1">
      <alignment vertical="center"/>
    </xf>
    <xf numFmtId="0" fontId="15" fillId="17" borderId="0" xfId="0" applyFont="1" applyFill="1" applyAlignment="1">
      <alignment horizontal="center" vertical="center"/>
    </xf>
    <xf numFmtId="0" fontId="4" fillId="0" borderId="0" xfId="0" applyFont="1" applyAlignment="1">
      <alignment horizontal="center" vertical="center"/>
    </xf>
    <xf numFmtId="0" fontId="4" fillId="0" borderId="0" xfId="0" applyFont="1" applyBorder="1"/>
    <xf numFmtId="0" fontId="4" fillId="0" borderId="0" xfId="0" applyFont="1" applyAlignment="1">
      <alignment vertical="center"/>
    </xf>
    <xf numFmtId="0" fontId="7" fillId="0" borderId="0" xfId="0" applyFont="1" applyFill="1" applyAlignment="1">
      <alignment horizontal="left" vertical="center"/>
    </xf>
    <xf numFmtId="0" fontId="4" fillId="0" borderId="0" xfId="0" applyNumberFormat="1" applyFont="1" applyBorder="1" applyAlignment="1">
      <alignment vertical="center"/>
    </xf>
    <xf numFmtId="0" fontId="4" fillId="0" borderId="0" xfId="0" applyFont="1" applyBorder="1" applyAlignment="1">
      <alignment horizontal="center" vertical="center"/>
    </xf>
    <xf numFmtId="0" fontId="15" fillId="0" borderId="0" xfId="0" applyFont="1" applyFill="1" applyAlignment="1">
      <alignment horizontal="center" vertical="center"/>
    </xf>
    <xf numFmtId="0" fontId="21" fillId="16" borderId="0" xfId="0" applyFont="1" applyFill="1" applyAlignment="1">
      <alignment vertical="top"/>
    </xf>
    <xf numFmtId="166" fontId="4" fillId="11" borderId="11" xfId="1" applyNumberFormat="1" applyFont="1" applyFill="1" applyBorder="1" applyAlignment="1" applyProtection="1">
      <alignment horizontal="right" vertical="top" wrapText="1"/>
      <protection locked="0"/>
    </xf>
    <xf numFmtId="0" fontId="4" fillId="16" borderId="0" xfId="0" applyFont="1" applyFill="1" applyAlignment="1">
      <alignment vertical="top"/>
    </xf>
    <xf numFmtId="0" fontId="23" fillId="0" borderId="0" xfId="2" applyFont="1" applyAlignment="1" applyProtection="1">
      <alignment wrapText="1"/>
    </xf>
    <xf numFmtId="0" fontId="24" fillId="0" borderId="1" xfId="0" applyFont="1" applyFill="1" applyBorder="1" applyAlignment="1">
      <alignment vertical="top"/>
    </xf>
    <xf numFmtId="0" fontId="4" fillId="0" borderId="15" xfId="0" applyFont="1" applyBorder="1" applyAlignment="1">
      <alignment vertical="top"/>
    </xf>
    <xf numFmtId="0" fontId="4" fillId="7" borderId="1" xfId="0" applyFont="1" applyFill="1" applyBorder="1" applyAlignment="1">
      <alignment horizontal="center" vertical="top"/>
    </xf>
    <xf numFmtId="0" fontId="4" fillId="7" borderId="15" xfId="0" applyFont="1" applyFill="1" applyBorder="1" applyAlignment="1">
      <alignment vertical="top"/>
    </xf>
    <xf numFmtId="0" fontId="4" fillId="8" borderId="1" xfId="0" applyFont="1" applyFill="1" applyBorder="1" applyAlignment="1">
      <alignment vertical="top"/>
    </xf>
    <xf numFmtId="0" fontId="4" fillId="6" borderId="1" xfId="0" applyFont="1" applyFill="1" applyBorder="1" applyAlignment="1">
      <alignment vertical="top"/>
    </xf>
    <xf numFmtId="0" fontId="4" fillId="9" borderId="1" xfId="0" applyFont="1" applyFill="1" applyBorder="1" applyAlignment="1">
      <alignment vertical="top"/>
    </xf>
    <xf numFmtId="0" fontId="4" fillId="11" borderId="1" xfId="0" applyFont="1" applyFill="1" applyBorder="1" applyAlignment="1">
      <alignment vertical="top"/>
    </xf>
    <xf numFmtId="0" fontId="4" fillId="10" borderId="1" xfId="0" applyFont="1" applyFill="1" applyBorder="1" applyAlignment="1">
      <alignment vertical="top"/>
    </xf>
    <xf numFmtId="0" fontId="14" fillId="14" borderId="0" xfId="0" applyFont="1" applyFill="1" applyAlignment="1" applyProtection="1">
      <alignment vertical="top"/>
    </xf>
    <xf numFmtId="0" fontId="4" fillId="14" borderId="0" xfId="0" applyFont="1" applyFill="1" applyAlignment="1" applyProtection="1">
      <alignment vertical="top"/>
    </xf>
    <xf numFmtId="0" fontId="4" fillId="14" borderId="0" xfId="0" applyFont="1" applyFill="1" applyAlignment="1" applyProtection="1">
      <alignment horizontal="center" vertical="top" wrapText="1"/>
    </xf>
    <xf numFmtId="0" fontId="4" fillId="0" borderId="0" xfId="0" applyFont="1" applyAlignment="1" applyProtection="1">
      <alignment vertical="top"/>
    </xf>
    <xf numFmtId="0" fontId="4" fillId="0" borderId="0" xfId="0" applyFont="1" applyFill="1" applyAlignment="1" applyProtection="1">
      <alignment vertical="top"/>
    </xf>
    <xf numFmtId="0" fontId="4" fillId="0" borderId="0" xfId="0" applyFont="1" applyFill="1" applyAlignment="1" applyProtection="1">
      <alignment horizontal="center" vertical="top" wrapText="1"/>
    </xf>
    <xf numFmtId="0" fontId="4" fillId="0" borderId="0" xfId="0" applyFont="1" applyAlignment="1" applyProtection="1">
      <alignment horizontal="center" vertical="top" wrapText="1"/>
    </xf>
    <xf numFmtId="0" fontId="17" fillId="0" borderId="0" xfId="0" applyFont="1" applyFill="1" applyAlignment="1" applyProtection="1">
      <alignment vertical="top"/>
    </xf>
    <xf numFmtId="0" fontId="19" fillId="0" borderId="0" xfId="0" applyFont="1" applyFill="1" applyAlignment="1" applyProtection="1">
      <alignment vertical="top"/>
    </xf>
    <xf numFmtId="0" fontId="5" fillId="0" borderId="0" xfId="0" applyFont="1" applyFill="1" applyBorder="1" applyAlignment="1" applyProtection="1">
      <alignment vertical="top"/>
    </xf>
    <xf numFmtId="0" fontId="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top"/>
    </xf>
    <xf numFmtId="0" fontId="4" fillId="0" borderId="1" xfId="0" applyFont="1" applyBorder="1" applyAlignment="1" applyProtection="1">
      <alignment vertical="top"/>
    </xf>
    <xf numFmtId="0" fontId="4" fillId="11" borderId="1" xfId="0" applyFont="1" applyFill="1" applyBorder="1" applyAlignment="1" applyProtection="1">
      <alignment horizontal="left" vertical="top" wrapText="1"/>
    </xf>
    <xf numFmtId="0" fontId="4" fillId="0" borderId="1" xfId="0" applyFont="1" applyBorder="1" applyAlignment="1" applyProtection="1">
      <alignment horizontal="center" vertical="top" wrapText="1"/>
    </xf>
    <xf numFmtId="0" fontId="19" fillId="0" borderId="0" xfId="0" applyFont="1" applyFill="1" applyAlignment="1" applyProtection="1">
      <alignment horizontal="center" vertical="top"/>
    </xf>
    <xf numFmtId="0" fontId="4" fillId="0" borderId="1" xfId="0" applyFont="1" applyFill="1" applyBorder="1" applyAlignment="1" applyProtection="1">
      <alignment vertical="top"/>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top"/>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center" vertical="top"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4" xfId="0" applyFont="1" applyBorder="1" applyAlignment="1" applyProtection="1">
      <alignment horizontal="center" vertical="top"/>
    </xf>
    <xf numFmtId="0" fontId="4" fillId="0" borderId="4" xfId="0" applyFont="1" applyFill="1" applyBorder="1" applyAlignment="1" applyProtection="1">
      <alignment vertical="top" wrapText="1"/>
    </xf>
    <xf numFmtId="0" fontId="4" fillId="0" borderId="24" xfId="0" applyFont="1" applyFill="1" applyBorder="1" applyAlignment="1" applyProtection="1">
      <alignment vertical="top" wrapText="1"/>
    </xf>
    <xf numFmtId="0" fontId="4" fillId="0" borderId="13" xfId="0" applyFont="1" applyBorder="1" applyAlignment="1" applyProtection="1">
      <alignment horizontal="center" vertical="top"/>
    </xf>
    <xf numFmtId="0" fontId="4" fillId="0" borderId="11" xfId="0" applyFont="1" applyFill="1" applyBorder="1" applyAlignment="1" applyProtection="1">
      <alignment vertical="top" wrapText="1" shrinkToFit="1"/>
    </xf>
    <xf numFmtId="0" fontId="4" fillId="0" borderId="11" xfId="0" applyFont="1" applyBorder="1" applyAlignment="1" applyProtection="1">
      <alignment horizontal="center" vertical="top"/>
    </xf>
    <xf numFmtId="0" fontId="4" fillId="0" borderId="11" xfId="0" applyFont="1" applyFill="1" applyBorder="1" applyAlignment="1" applyProtection="1">
      <alignment vertical="top" wrapText="1"/>
    </xf>
    <xf numFmtId="0" fontId="4" fillId="0" borderId="19" xfId="0" applyFont="1" applyFill="1" applyBorder="1" applyAlignment="1" applyProtection="1">
      <alignment vertical="top" wrapText="1"/>
    </xf>
    <xf numFmtId="0" fontId="4" fillId="0" borderId="12" xfId="0" applyFont="1" applyFill="1" applyBorder="1" applyAlignment="1" applyProtection="1">
      <alignment horizontal="left" vertical="top" wrapText="1"/>
    </xf>
    <xf numFmtId="0" fontId="4" fillId="0" borderId="10"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4" fillId="0" borderId="24" xfId="0" applyFont="1" applyFill="1" applyBorder="1" applyAlignment="1" applyProtection="1">
      <alignment horizontal="left" vertical="top" wrapText="1"/>
    </xf>
    <xf numFmtId="0" fontId="4" fillId="0" borderId="20" xfId="0" applyFont="1" applyFill="1" applyBorder="1" applyAlignment="1" applyProtection="1">
      <alignment horizontal="left" vertical="top" wrapText="1"/>
    </xf>
    <xf numFmtId="0" fontId="4" fillId="0" borderId="0" xfId="0" applyFont="1" applyBorder="1" applyAlignment="1" applyProtection="1">
      <alignment vertical="top"/>
    </xf>
    <xf numFmtId="0" fontId="5" fillId="0" borderId="0" xfId="0" applyFont="1" applyFill="1" applyBorder="1" applyAlignment="1" applyProtection="1">
      <alignment vertical="top" wrapText="1"/>
    </xf>
    <xf numFmtId="0" fontId="4" fillId="0" borderId="0" xfId="0" applyFont="1" applyBorder="1" applyAlignment="1" applyProtection="1">
      <alignment horizontal="center" vertical="top" wrapText="1"/>
    </xf>
    <xf numFmtId="0" fontId="4"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4" fillId="0" borderId="2"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pplyProtection="1">
      <alignment horizontal="left" vertical="top" wrapText="1"/>
    </xf>
    <xf numFmtId="0" fontId="4" fillId="0" borderId="1" xfId="0" applyFont="1" applyFill="1" applyBorder="1" applyAlignment="1">
      <alignment horizontal="center" vertical="center" wrapText="1"/>
    </xf>
    <xf numFmtId="0" fontId="4" fillId="11" borderId="4" xfId="0" applyFont="1" applyFill="1" applyBorder="1" applyAlignment="1" applyProtection="1">
      <alignment horizontal="left" vertical="top" wrapText="1"/>
      <protection locked="0"/>
    </xf>
    <xf numFmtId="0" fontId="4" fillId="11" borderId="1" xfId="0" applyFont="1" applyFill="1" applyBorder="1" applyAlignment="1" applyProtection="1">
      <alignment horizontal="left" vertical="top" wrapText="1"/>
      <protection locked="0"/>
    </xf>
    <xf numFmtId="0" fontId="4" fillId="11" borderId="13" xfId="0" applyFont="1" applyFill="1" applyBorder="1" applyAlignment="1" applyProtection="1">
      <alignment horizontal="left" vertical="top" wrapText="1"/>
      <protection locked="0"/>
    </xf>
    <xf numFmtId="0" fontId="4" fillId="0" borderId="1" xfId="0" applyFont="1" applyBorder="1" applyAlignment="1">
      <alignment horizontal="center" vertical="center" wrapText="1"/>
    </xf>
    <xf numFmtId="0" fontId="4" fillId="0" borderId="0"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4" borderId="1" xfId="0" applyFont="1" applyFill="1" applyBorder="1" applyAlignment="1">
      <alignment horizontal="left" vertical="top" wrapText="1" shrinkToFit="1"/>
    </xf>
    <xf numFmtId="0" fontId="4" fillId="0" borderId="2" xfId="0" applyFont="1" applyBorder="1" applyAlignment="1">
      <alignment horizontal="center" vertical="center" wrapText="1"/>
    </xf>
    <xf numFmtId="0" fontId="4" fillId="0" borderId="4"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14" fillId="15" borderId="0" xfId="0" applyFont="1" applyFill="1" applyAlignment="1" applyProtection="1">
      <alignment vertical="top"/>
    </xf>
    <xf numFmtId="0" fontId="4" fillId="15" borderId="0" xfId="0" applyFont="1" applyFill="1" applyAlignment="1" applyProtection="1">
      <alignment vertical="top"/>
    </xf>
    <xf numFmtId="0" fontId="4" fillId="15" borderId="0" xfId="0" applyFont="1" applyFill="1" applyAlignment="1" applyProtection="1">
      <alignment horizontal="center" vertical="top" wrapText="1"/>
    </xf>
    <xf numFmtId="1" fontId="4" fillId="15" borderId="0" xfId="0" applyNumberFormat="1" applyFont="1" applyFill="1" applyAlignment="1" applyProtection="1">
      <alignment horizontal="center" vertical="top" wrapText="1"/>
    </xf>
    <xf numFmtId="0" fontId="4" fillId="15" borderId="0" xfId="0" applyFont="1" applyFill="1" applyAlignment="1" applyProtection="1">
      <alignment vertical="top" wrapText="1"/>
    </xf>
    <xf numFmtId="2" fontId="4" fillId="15" borderId="0" xfId="0" applyNumberFormat="1" applyFont="1" applyFill="1" applyAlignment="1" applyProtection="1">
      <alignment vertical="top"/>
    </xf>
    <xf numFmtId="0" fontId="4" fillId="0" borderId="0" xfId="0" applyFont="1" applyAlignment="1" applyProtection="1">
      <alignment vertical="top" wrapText="1"/>
    </xf>
    <xf numFmtId="1" fontId="4" fillId="0" borderId="0" xfId="0" applyNumberFormat="1" applyFont="1" applyAlignment="1" applyProtection="1">
      <alignment horizontal="center" vertical="top" wrapText="1"/>
    </xf>
    <xf numFmtId="2" fontId="4" fillId="0" borderId="0" xfId="0" applyNumberFormat="1" applyFont="1" applyAlignment="1" applyProtection="1">
      <alignment vertical="top"/>
    </xf>
    <xf numFmtId="0" fontId="5" fillId="0" borderId="0" xfId="0" applyFont="1" applyBorder="1" applyAlignment="1" applyProtection="1">
      <alignment horizontal="left" vertical="top"/>
    </xf>
    <xf numFmtId="0" fontId="5" fillId="0" borderId="0" xfId="0" applyFont="1" applyAlignment="1" applyProtection="1">
      <alignment vertical="top" wrapText="1"/>
    </xf>
    <xf numFmtId="0" fontId="16" fillId="0" borderId="0" xfId="0" applyFont="1" applyFill="1" applyAlignment="1" applyProtection="1">
      <alignment vertical="top"/>
    </xf>
    <xf numFmtId="0" fontId="4" fillId="0" borderId="1" xfId="0" applyFont="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0" fontId="4" fillId="6" borderId="0" xfId="0" applyFont="1" applyFill="1" applyAlignment="1" applyProtection="1">
      <alignment vertical="top"/>
    </xf>
    <xf numFmtId="0" fontId="4" fillId="0" borderId="14" xfId="0" applyFont="1" applyBorder="1" applyAlignment="1" applyProtection="1">
      <alignment horizontal="center" vertical="top"/>
    </xf>
    <xf numFmtId="1" fontId="11" fillId="0" borderId="0" xfId="0" applyNumberFormat="1" applyFont="1" applyAlignment="1" applyProtection="1">
      <alignment horizontal="center" vertical="top" wrapText="1"/>
    </xf>
    <xf numFmtId="0" fontId="11" fillId="0" borderId="0" xfId="0" applyFont="1" applyAlignment="1" applyProtection="1">
      <alignment vertical="top" wrapText="1"/>
    </xf>
    <xf numFmtId="0" fontId="4" fillId="0" borderId="15" xfId="0" applyFont="1" applyBorder="1" applyAlignment="1" applyProtection="1">
      <alignment horizontal="center" vertical="top"/>
    </xf>
    <xf numFmtId="0" fontId="11" fillId="0" borderId="0" xfId="0" applyFont="1" applyAlignment="1" applyProtection="1">
      <alignment horizontal="left" vertical="top"/>
    </xf>
    <xf numFmtId="0" fontId="4" fillId="0" borderId="16" xfId="0" applyFont="1" applyBorder="1" applyAlignment="1" applyProtection="1">
      <alignment horizontal="center" vertical="top"/>
    </xf>
    <xf numFmtId="164" fontId="4" fillId="0" borderId="16" xfId="0" applyNumberFormat="1" applyFont="1" applyFill="1" applyBorder="1" applyAlignment="1" applyProtection="1">
      <alignment horizontal="right" vertical="top" wrapText="1"/>
    </xf>
    <xf numFmtId="3" fontId="4" fillId="0" borderId="11" xfId="0" applyNumberFormat="1" applyFont="1" applyFill="1" applyBorder="1" applyAlignment="1" applyProtection="1">
      <alignment horizontal="right" vertical="top" wrapText="1"/>
    </xf>
    <xf numFmtId="166" fontId="4" fillId="0" borderId="11" xfId="1" applyNumberFormat="1" applyFont="1" applyFill="1" applyBorder="1" applyAlignment="1" applyProtection="1">
      <alignment horizontal="right" vertical="top" wrapText="1"/>
    </xf>
    <xf numFmtId="164" fontId="4" fillId="0" borderId="19" xfId="0" applyNumberFormat="1" applyFont="1" applyFill="1" applyBorder="1" applyAlignment="1" applyProtection="1">
      <alignment horizontal="right" vertical="top" wrapText="1"/>
    </xf>
    <xf numFmtId="0" fontId="4" fillId="0" borderId="1" xfId="0" applyFont="1" applyFill="1" applyBorder="1" applyAlignment="1" applyProtection="1">
      <alignment horizontal="center" vertical="top"/>
    </xf>
    <xf numFmtId="1" fontId="4" fillId="0" borderId="0" xfId="0" applyNumberFormat="1" applyFont="1" applyBorder="1" applyAlignment="1" applyProtection="1">
      <alignment horizontal="center" vertical="top" wrapText="1"/>
    </xf>
    <xf numFmtId="0" fontId="4" fillId="0" borderId="0" xfId="0" applyFont="1" applyBorder="1" applyAlignment="1" applyProtection="1">
      <alignment vertical="top" wrapText="1"/>
    </xf>
    <xf numFmtId="2" fontId="4" fillId="0" borderId="0" xfId="0" applyNumberFormat="1" applyFont="1" applyBorder="1" applyAlignment="1" applyProtection="1">
      <alignment vertical="top"/>
    </xf>
    <xf numFmtId="0" fontId="4" fillId="0" borderId="0" xfId="0" applyFont="1" applyBorder="1" applyAlignment="1" applyProtection="1">
      <alignment horizontal="left" vertical="top" wrapText="1"/>
    </xf>
    <xf numFmtId="0" fontId="14" fillId="13" borderId="0" xfId="0" applyFont="1" applyFill="1" applyAlignment="1" applyProtection="1">
      <alignment vertical="top"/>
    </xf>
    <xf numFmtId="0" fontId="4" fillId="13" borderId="0" xfId="0" applyFont="1" applyFill="1" applyProtection="1"/>
    <xf numFmtId="0" fontId="4" fillId="0" borderId="0" xfId="0" applyFont="1" applyProtection="1"/>
    <xf numFmtId="0" fontId="4" fillId="0" borderId="0" xfId="0" applyFont="1" applyFill="1" applyProtection="1"/>
    <xf numFmtId="3" fontId="4" fillId="0" borderId="1" xfId="0" applyNumberFormat="1" applyFont="1" applyFill="1" applyBorder="1" applyAlignment="1" applyProtection="1">
      <alignment horizontal="right" vertical="top" wrapText="1"/>
    </xf>
    <xf numFmtId="166" fontId="4" fillId="0" borderId="1" xfId="1" applyNumberFormat="1" applyFont="1" applyFill="1" applyBorder="1" applyAlignment="1" applyProtection="1">
      <alignment horizontal="right" vertical="top" wrapText="1"/>
    </xf>
    <xf numFmtId="0" fontId="5" fillId="0" borderId="0" xfId="0" applyFont="1" applyAlignment="1" applyProtection="1">
      <alignment vertical="top"/>
    </xf>
    <xf numFmtId="0" fontId="4" fillId="0" borderId="2" xfId="0" applyFont="1" applyFill="1" applyBorder="1" applyAlignment="1" applyProtection="1">
      <alignment horizontal="center" vertical="center" wrapText="1"/>
    </xf>
    <xf numFmtId="0" fontId="4" fillId="4" borderId="4" xfId="0" applyFont="1" applyFill="1" applyBorder="1" applyAlignment="1" applyProtection="1">
      <alignment horizontal="left" vertical="top" wrapText="1" shrinkToFit="1"/>
    </xf>
    <xf numFmtId="0" fontId="4" fillId="11" borderId="24" xfId="0" applyFont="1" applyFill="1" applyBorder="1" applyAlignment="1" applyProtection="1">
      <alignment horizontal="left" vertical="top" wrapText="1"/>
    </xf>
    <xf numFmtId="0" fontId="4" fillId="2" borderId="5" xfId="0" applyFont="1" applyFill="1" applyBorder="1" applyAlignment="1" applyProtection="1">
      <alignment horizontal="center" vertical="top"/>
    </xf>
    <xf numFmtId="0" fontId="4" fillId="2" borderId="0" xfId="0" applyFont="1" applyFill="1" applyBorder="1" applyAlignment="1" applyProtection="1">
      <alignment vertical="top" wrapText="1"/>
    </xf>
    <xf numFmtId="0" fontId="4" fillId="4" borderId="22" xfId="0" applyFont="1" applyFill="1" applyBorder="1" applyAlignment="1" applyProtection="1">
      <alignment horizontal="left" vertical="top" wrapText="1" shrinkToFit="1"/>
    </xf>
    <xf numFmtId="0" fontId="4" fillId="2" borderId="6" xfId="0" applyFont="1" applyFill="1" applyBorder="1" applyAlignment="1" applyProtection="1">
      <alignment horizontal="left" vertical="top" wrapText="1" shrinkToFit="1"/>
    </xf>
    <xf numFmtId="0" fontId="4" fillId="4" borderId="1" xfId="0" applyFont="1" applyFill="1" applyBorder="1" applyAlignment="1" applyProtection="1">
      <alignment horizontal="left" vertical="top" wrapText="1" shrinkToFit="1"/>
    </xf>
    <xf numFmtId="0" fontId="4" fillId="2" borderId="7" xfId="0" applyFont="1" applyFill="1" applyBorder="1" applyAlignment="1" applyProtection="1">
      <alignment horizontal="center" vertical="top"/>
    </xf>
    <xf numFmtId="0" fontId="4" fillId="2" borderId="8" xfId="0" applyFont="1" applyFill="1" applyBorder="1" applyAlignment="1" applyProtection="1">
      <alignment vertical="top" wrapText="1"/>
    </xf>
    <xf numFmtId="0" fontId="4" fillId="4" borderId="13" xfId="0" applyFont="1" applyFill="1" applyBorder="1" applyAlignment="1" applyProtection="1">
      <alignment horizontal="left" vertical="top" wrapText="1" shrinkToFit="1"/>
    </xf>
    <xf numFmtId="0" fontId="6" fillId="2" borderId="9" xfId="0" applyFont="1" applyFill="1" applyBorder="1" applyAlignment="1" applyProtection="1">
      <alignment horizontal="left" vertical="top" wrapText="1" shrinkToFit="1"/>
    </xf>
    <xf numFmtId="0" fontId="4" fillId="2" borderId="6" xfId="0" applyFont="1" applyFill="1" applyBorder="1" applyAlignment="1" applyProtection="1">
      <alignment horizontal="left" vertical="top" wrapText="1"/>
    </xf>
    <xf numFmtId="0" fontId="4" fillId="2" borderId="9" xfId="0" applyFont="1" applyFill="1" applyBorder="1" applyAlignment="1" applyProtection="1">
      <alignment horizontal="left" vertical="top" wrapText="1"/>
    </xf>
    <xf numFmtId="0" fontId="4" fillId="11" borderId="24" xfId="0" applyFont="1" applyFill="1" applyBorder="1" applyAlignment="1" applyProtection="1">
      <alignment horizontal="left" vertical="top" wrapText="1" shrinkToFit="1"/>
    </xf>
    <xf numFmtId="0" fontId="4" fillId="4" borderId="11" xfId="0" applyFont="1" applyFill="1" applyBorder="1" applyAlignment="1" applyProtection="1">
      <alignment horizontal="left" vertical="top" wrapText="1" shrinkToFit="1"/>
    </xf>
    <xf numFmtId="0" fontId="4" fillId="0" borderId="11" xfId="0" applyFont="1" applyFill="1" applyBorder="1" applyAlignment="1" applyProtection="1">
      <alignment horizontal="left" vertical="top" wrapText="1" shrinkToFit="1"/>
    </xf>
    <xf numFmtId="3" fontId="4" fillId="11" borderId="19" xfId="0" applyNumberFormat="1" applyFont="1" applyFill="1" applyBorder="1" applyAlignment="1" applyProtection="1">
      <alignment horizontal="right" vertical="top" wrapText="1"/>
    </xf>
    <xf numFmtId="0" fontId="4" fillId="4" borderId="22" xfId="0" applyFont="1" applyFill="1" applyBorder="1" applyAlignment="1" applyProtection="1">
      <alignment horizontal="left" vertical="top"/>
    </xf>
    <xf numFmtId="0" fontId="4" fillId="11" borderId="30" xfId="0" applyFont="1" applyFill="1" applyBorder="1" applyAlignment="1" applyProtection="1">
      <alignment horizontal="left" vertical="top" wrapText="1"/>
    </xf>
    <xf numFmtId="0" fontId="4" fillId="4" borderId="1" xfId="0" applyFont="1" applyFill="1" applyBorder="1" applyAlignment="1" applyProtection="1">
      <alignment horizontal="left" vertical="top"/>
    </xf>
    <xf numFmtId="0" fontId="4" fillId="4" borderId="13" xfId="0" applyFont="1" applyFill="1" applyBorder="1" applyAlignment="1" applyProtection="1">
      <alignment horizontal="left" vertical="top"/>
    </xf>
    <xf numFmtId="0" fontId="4" fillId="4" borderId="22" xfId="0" applyFont="1" applyFill="1" applyBorder="1" applyAlignment="1" applyProtection="1">
      <alignment vertical="top" wrapText="1"/>
    </xf>
    <xf numFmtId="0" fontId="4" fillId="4" borderId="2" xfId="0" applyFont="1" applyFill="1" applyBorder="1" applyAlignment="1" applyProtection="1">
      <alignment horizontal="left" vertical="top" wrapText="1" shrinkToFit="1"/>
    </xf>
    <xf numFmtId="3" fontId="4" fillId="11" borderId="61" xfId="0" applyNumberFormat="1" applyFont="1" applyFill="1" applyBorder="1" applyAlignment="1" applyProtection="1">
      <alignment horizontal="right" vertical="top" wrapText="1"/>
    </xf>
    <xf numFmtId="0" fontId="4" fillId="4" borderId="13" xfId="0" applyFont="1" applyFill="1" applyBorder="1" applyAlignment="1" applyProtection="1">
      <alignment vertical="top" wrapText="1"/>
    </xf>
    <xf numFmtId="0" fontId="4" fillId="4" borderId="4" xfId="0" applyFont="1" applyFill="1" applyBorder="1" applyAlignment="1" applyProtection="1">
      <alignment horizontal="left" vertical="top"/>
    </xf>
    <xf numFmtId="3" fontId="4" fillId="0" borderId="1" xfId="0" applyNumberFormat="1" applyFont="1" applyFill="1" applyBorder="1" applyAlignment="1" applyProtection="1">
      <alignment vertical="top"/>
    </xf>
    <xf numFmtId="0" fontId="4" fillId="0" borderId="0" xfId="0" applyFont="1" applyAlignment="1" applyProtection="1">
      <alignment horizontal="center" vertical="top"/>
    </xf>
    <xf numFmtId="0" fontId="4" fillId="0" borderId="0" xfId="0" applyFont="1" applyFill="1" applyAlignment="1" applyProtection="1">
      <alignment vertical="top" wrapText="1"/>
    </xf>
    <xf numFmtId="0" fontId="4" fillId="0" borderId="0" xfId="0" applyFont="1" applyFill="1" applyAlignment="1" applyProtection="1">
      <alignment horizontal="center" vertical="top"/>
    </xf>
    <xf numFmtId="0" fontId="13" fillId="0" borderId="0" xfId="0" applyFont="1" applyFill="1" applyAlignment="1" applyProtection="1">
      <alignment vertical="top" wrapText="1"/>
    </xf>
    <xf numFmtId="0" fontId="13" fillId="0" borderId="0" xfId="0" applyFont="1" applyAlignment="1" applyProtection="1">
      <alignment vertical="top"/>
    </xf>
    <xf numFmtId="0" fontId="4" fillId="0" borderId="0" xfId="0" applyFont="1" applyFill="1" applyAlignment="1" applyProtection="1">
      <alignment horizontal="center" vertical="center" wrapText="1"/>
    </xf>
    <xf numFmtId="0" fontId="4" fillId="6" borderId="0" xfId="0" applyFont="1" applyFill="1" applyAlignment="1" applyProtection="1">
      <alignment horizontal="center" vertical="top"/>
    </xf>
    <xf numFmtId="0" fontId="4" fillId="6" borderId="0" xfId="0" applyFont="1" applyFill="1" applyAlignment="1" applyProtection="1">
      <alignment vertical="top" wrapText="1"/>
    </xf>
    <xf numFmtId="2" fontId="4" fillId="6" borderId="0" xfId="0" applyNumberFormat="1" applyFont="1" applyFill="1" applyAlignment="1" applyProtection="1">
      <alignment vertical="top"/>
    </xf>
    <xf numFmtId="0" fontId="4" fillId="4" borderId="1" xfId="0" applyFont="1" applyFill="1" applyBorder="1" applyAlignment="1" applyProtection="1">
      <alignment vertical="top" wrapText="1"/>
    </xf>
    <xf numFmtId="0" fontId="7" fillId="0" borderId="0" xfId="0" applyFont="1" applyFill="1" applyBorder="1" applyAlignment="1" applyProtection="1">
      <alignment horizontal="center" vertical="top" wrapText="1" shrinkToFit="1"/>
    </xf>
    <xf numFmtId="10" fontId="7" fillId="5" borderId="1" xfId="0" applyNumberFormat="1" applyFont="1" applyFill="1" applyBorder="1" applyAlignment="1" applyProtection="1">
      <alignment horizontal="center" vertical="top" wrapText="1" shrinkToFit="1"/>
    </xf>
    <xf numFmtId="10" fontId="4" fillId="0" borderId="1" xfId="0" applyNumberFormat="1" applyFont="1" applyFill="1" applyBorder="1" applyAlignment="1" applyProtection="1">
      <alignment horizontal="center" vertical="center" wrapText="1" shrinkToFit="1"/>
    </xf>
    <xf numFmtId="0" fontId="4" fillId="2" borderId="1"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10" fontId="4" fillId="11"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vertical="top"/>
    </xf>
    <xf numFmtId="166" fontId="4" fillId="11" borderId="1" xfId="1" applyNumberFormat="1" applyFont="1" applyFill="1" applyBorder="1" applyAlignment="1" applyProtection="1">
      <alignment horizontal="right" vertical="top" wrapText="1"/>
    </xf>
    <xf numFmtId="0" fontId="4" fillId="5" borderId="1" xfId="0" applyFont="1" applyFill="1" applyBorder="1" applyAlignment="1" applyProtection="1">
      <alignment horizontal="center" vertical="top"/>
    </xf>
    <xf numFmtId="0" fontId="4" fillId="5" borderId="1" xfId="0" applyFont="1" applyFill="1" applyBorder="1" applyAlignment="1" applyProtection="1">
      <alignment vertical="top" wrapText="1"/>
    </xf>
    <xf numFmtId="10" fontId="7" fillId="0" borderId="0" xfId="0" applyNumberFormat="1" applyFont="1" applyFill="1" applyBorder="1" applyAlignment="1" applyProtection="1">
      <alignment horizontal="center" vertical="top" wrapText="1" shrinkToFit="1"/>
    </xf>
    <xf numFmtId="0" fontId="4" fillId="0" borderId="1" xfId="0" applyFont="1" applyFill="1" applyBorder="1" applyAlignment="1" applyProtection="1">
      <alignment horizontal="left" vertical="top" wrapText="1" shrinkToFit="1"/>
    </xf>
    <xf numFmtId="0" fontId="4" fillId="2" borderId="1" xfId="0" applyFont="1" applyFill="1" applyBorder="1" applyAlignment="1" applyProtection="1">
      <alignment vertical="top" wrapText="1"/>
    </xf>
    <xf numFmtId="164" fontId="4" fillId="4" borderId="1" xfId="0" applyNumberFormat="1" applyFont="1" applyFill="1" applyBorder="1" applyAlignment="1" applyProtection="1">
      <alignment horizontal="center" vertical="center"/>
    </xf>
    <xf numFmtId="164" fontId="4" fillId="0" borderId="0" xfId="0" applyNumberFormat="1" applyFont="1" applyAlignment="1" applyProtection="1">
      <alignment vertical="top"/>
    </xf>
    <xf numFmtId="0" fontId="8" fillId="5" borderId="1" xfId="0" applyFont="1" applyFill="1" applyBorder="1" applyAlignment="1" applyProtection="1">
      <alignment horizontal="center" vertical="top" wrapText="1" shrinkToFit="1"/>
    </xf>
    <xf numFmtId="0" fontId="8" fillId="0" borderId="0" xfId="0" applyFont="1" applyFill="1" applyBorder="1" applyAlignment="1" applyProtection="1">
      <alignment horizontal="center" vertical="top" wrapText="1" shrinkToFit="1"/>
    </xf>
    <xf numFmtId="0" fontId="4" fillId="0" borderId="1" xfId="0" applyFont="1" applyFill="1" applyBorder="1" applyAlignment="1" applyProtection="1">
      <alignment horizontal="center" vertical="center"/>
    </xf>
    <xf numFmtId="164" fontId="4" fillId="2" borderId="1" xfId="0" applyNumberFormat="1" applyFont="1" applyFill="1" applyBorder="1" applyAlignment="1" applyProtection="1">
      <alignment horizontal="center" vertical="center"/>
    </xf>
    <xf numFmtId="0" fontId="9" fillId="5" borderId="1" xfId="0" applyFont="1" applyFill="1" applyBorder="1" applyAlignment="1" applyProtection="1">
      <alignment horizontal="center" vertical="top" wrapText="1" shrinkToFit="1"/>
    </xf>
    <xf numFmtId="0" fontId="9" fillId="0" borderId="0" xfId="0" applyFont="1" applyFill="1" applyBorder="1" applyAlignment="1" applyProtection="1">
      <alignment horizontal="center" vertical="top" wrapText="1" shrinkToFit="1"/>
    </xf>
    <xf numFmtId="0" fontId="4" fillId="2" borderId="1" xfId="0" applyFont="1" applyFill="1" applyBorder="1" applyAlignment="1" applyProtection="1">
      <alignment horizontal="center" vertical="top" wrapText="1" shrinkToFit="1"/>
    </xf>
    <xf numFmtId="0" fontId="4" fillId="2" borderId="1" xfId="0" applyFont="1" applyFill="1" applyBorder="1" applyAlignment="1" applyProtection="1">
      <alignment horizontal="center" vertical="center"/>
    </xf>
    <xf numFmtId="0" fontId="4" fillId="4" borderId="1" xfId="0" applyFont="1" applyFill="1" applyBorder="1" applyAlignment="1" applyProtection="1">
      <alignment horizontal="left" vertical="top" wrapText="1"/>
    </xf>
    <xf numFmtId="0" fontId="4" fillId="2" borderId="1" xfId="0" applyFont="1" applyFill="1" applyBorder="1" applyAlignment="1" applyProtection="1">
      <alignment vertical="top"/>
    </xf>
    <xf numFmtId="0" fontId="7" fillId="2" borderId="1" xfId="0" applyFont="1" applyFill="1" applyBorder="1" applyAlignment="1" applyProtection="1">
      <alignment horizontal="center" vertical="top" wrapText="1" shrinkToFit="1"/>
    </xf>
    <xf numFmtId="0" fontId="7" fillId="2" borderId="1" xfId="0" applyFont="1" applyFill="1" applyBorder="1" applyAlignment="1" applyProtection="1">
      <alignment vertical="top" wrapText="1"/>
    </xf>
    <xf numFmtId="0" fontId="8" fillId="2" borderId="1" xfId="0" applyFont="1" applyFill="1" applyBorder="1" applyAlignment="1" applyProtection="1">
      <alignment vertical="top" wrapText="1"/>
    </xf>
    <xf numFmtId="0" fontId="4" fillId="0" borderId="0" xfId="0" applyFont="1" applyFill="1" applyBorder="1" applyAlignment="1" applyProtection="1">
      <alignment horizontal="center" vertical="top" wrapText="1" shrinkToFit="1"/>
    </xf>
    <xf numFmtId="10" fontId="4" fillId="5" borderId="1" xfId="0" applyNumberFormat="1" applyFont="1" applyFill="1" applyBorder="1" applyAlignment="1" applyProtection="1">
      <alignment horizontal="center" vertical="top" wrapText="1" shrinkToFit="1"/>
    </xf>
    <xf numFmtId="0" fontId="5" fillId="5" borderId="1" xfId="0" applyFont="1" applyFill="1" applyBorder="1" applyAlignment="1" applyProtection="1">
      <alignment horizontal="center" vertical="top" wrapText="1"/>
    </xf>
    <xf numFmtId="0" fontId="5" fillId="0" borderId="0" xfId="0" applyFont="1" applyFill="1" applyBorder="1" applyAlignment="1" applyProtection="1">
      <alignment horizontal="center" vertical="top" wrapText="1"/>
    </xf>
    <xf numFmtId="0" fontId="4" fillId="0" borderId="1" xfId="0" applyFont="1" applyFill="1" applyBorder="1" applyAlignment="1" applyProtection="1">
      <alignment horizontal="center" vertical="center" wrapText="1" shrinkToFit="1"/>
    </xf>
    <xf numFmtId="10" fontId="4" fillId="4" borderId="1" xfId="0" applyNumberFormat="1" applyFont="1" applyFill="1" applyBorder="1" applyAlignment="1" applyProtection="1">
      <alignment horizontal="left" vertical="top" wrapText="1" shrinkToFit="1"/>
    </xf>
    <xf numFmtId="10" fontId="4" fillId="0" borderId="0" xfId="0" applyNumberFormat="1" applyFont="1" applyFill="1" applyBorder="1" applyAlignment="1" applyProtection="1">
      <alignment horizontal="center" vertical="top" wrapText="1" shrinkToFit="1"/>
    </xf>
    <xf numFmtId="0" fontId="5" fillId="5" borderId="1" xfId="0" applyFont="1" applyFill="1" applyBorder="1" applyAlignment="1" applyProtection="1">
      <alignment horizontal="center" vertical="top" wrapText="1" shrinkToFit="1"/>
    </xf>
    <xf numFmtId="0" fontId="5" fillId="0" borderId="0" xfId="0" applyFont="1" applyFill="1" applyBorder="1" applyAlignment="1" applyProtection="1">
      <alignment horizontal="center" vertical="top" wrapText="1" shrinkToFit="1"/>
    </xf>
    <xf numFmtId="0" fontId="4" fillId="5" borderId="1" xfId="0" applyFont="1" applyFill="1" applyBorder="1" applyAlignment="1" applyProtection="1">
      <alignment vertical="top"/>
    </xf>
    <xf numFmtId="0" fontId="4" fillId="5" borderId="1" xfId="0" applyFont="1" applyFill="1" applyBorder="1" applyAlignment="1" applyProtection="1">
      <alignment horizontal="center" vertical="top" wrapText="1" shrinkToFit="1"/>
    </xf>
    <xf numFmtId="0" fontId="5" fillId="5" borderId="1" xfId="0" applyFont="1" applyFill="1" applyBorder="1" applyAlignment="1" applyProtection="1">
      <alignment vertical="top" wrapText="1"/>
    </xf>
    <xf numFmtId="164" fontId="4" fillId="0" borderId="0" xfId="0" applyNumberFormat="1" applyFont="1" applyFill="1" applyAlignment="1" applyProtection="1">
      <alignment vertical="top"/>
    </xf>
    <xf numFmtId="0" fontId="14" fillId="0" borderId="0" xfId="0" applyFont="1" applyFill="1" applyAlignment="1" applyProtection="1">
      <alignment vertical="top"/>
    </xf>
    <xf numFmtId="0" fontId="5" fillId="0" borderId="0" xfId="0" applyFont="1" applyFill="1" applyAlignment="1" applyProtection="1">
      <alignment vertical="top"/>
    </xf>
    <xf numFmtId="0" fontId="5" fillId="0" borderId="0" xfId="0" applyFont="1" applyBorder="1" applyAlignment="1" applyProtection="1">
      <alignment vertical="center"/>
    </xf>
    <xf numFmtId="0" fontId="4" fillId="11" borderId="25" xfId="0" applyFont="1" applyFill="1" applyBorder="1" applyAlignment="1" applyProtection="1">
      <alignment horizontal="left" vertical="top" wrapText="1"/>
      <protection locked="0"/>
    </xf>
    <xf numFmtId="3" fontId="4" fillId="11" borderId="1" xfId="0" applyNumberFormat="1" applyFont="1" applyFill="1" applyBorder="1" applyAlignment="1" applyProtection="1">
      <alignment horizontal="right" vertical="top" wrapText="1"/>
      <protection locked="0"/>
    </xf>
    <xf numFmtId="167" fontId="4" fillId="11" borderId="1" xfId="0" applyNumberFormat="1" applyFont="1" applyFill="1" applyBorder="1" applyAlignment="1" applyProtection="1">
      <alignment horizontal="right" vertical="top" wrapText="1"/>
      <protection locked="0"/>
    </xf>
    <xf numFmtId="0" fontId="4" fillId="11" borderId="11" xfId="0" applyFont="1" applyFill="1" applyBorder="1" applyAlignment="1" applyProtection="1">
      <alignment horizontal="left" vertical="top" wrapText="1"/>
      <protection locked="0"/>
    </xf>
    <xf numFmtId="0" fontId="18" fillId="0" borderId="0" xfId="0" applyFont="1" applyFill="1"/>
    <xf numFmtId="0" fontId="4" fillId="0" borderId="35"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shrinkToFit="1"/>
    </xf>
    <xf numFmtId="0" fontId="4" fillId="0" borderId="37"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0" fontId="4" fillId="11" borderId="1"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shrinkToFit="1"/>
    </xf>
    <xf numFmtId="0" fontId="4" fillId="0" borderId="1" xfId="0" applyFont="1" applyFill="1" applyBorder="1" applyAlignment="1" applyProtection="1">
      <alignment horizontal="center" vertical="center" wrapText="1"/>
    </xf>
    <xf numFmtId="0" fontId="4" fillId="4" borderId="1" xfId="0" applyFont="1" applyFill="1" applyBorder="1" applyAlignment="1" applyProtection="1">
      <alignment horizontal="left" vertical="top" wrapText="1" shrinkToFit="1"/>
    </xf>
    <xf numFmtId="0" fontId="4" fillId="4" borderId="1" xfId="0" applyFont="1" applyFill="1" applyBorder="1" applyAlignment="1" applyProtection="1">
      <alignment horizontal="left" vertical="top" wrapText="1" shrinkToFit="1"/>
    </xf>
    <xf numFmtId="0" fontId="4" fillId="11" borderId="1"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shrinkToFit="1"/>
    </xf>
    <xf numFmtId="0" fontId="4" fillId="0" borderId="4"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13" xfId="0" applyFont="1" applyFill="1" applyBorder="1" applyAlignment="1" applyProtection="1">
      <alignment horizontal="center" vertical="center" wrapText="1"/>
    </xf>
    <xf numFmtId="0" fontId="4" fillId="0" borderId="13"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164" fontId="4" fillId="0" borderId="24" xfId="0" applyNumberFormat="1" applyFont="1" applyFill="1" applyBorder="1" applyAlignment="1" applyProtection="1">
      <alignment horizontal="right" vertical="top"/>
    </xf>
    <xf numFmtId="166" fontId="4" fillId="0" borderId="4" xfId="1" applyNumberFormat="1" applyFont="1" applyFill="1" applyBorder="1" applyAlignment="1" applyProtection="1">
      <alignment horizontal="right" vertical="top" wrapText="1"/>
    </xf>
    <xf numFmtId="164" fontId="4" fillId="0" borderId="14"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0" fontId="4" fillId="11" borderId="40" xfId="0" applyFont="1" applyFill="1" applyBorder="1" applyAlignment="1" applyProtection="1">
      <alignment horizontal="left" vertical="top" wrapText="1"/>
      <protection locked="0"/>
    </xf>
    <xf numFmtId="0" fontId="4" fillId="11" borderId="1" xfId="0" applyFont="1" applyFill="1" applyBorder="1" applyAlignment="1" applyProtection="1">
      <alignment horizontal="left" vertical="top" wrapText="1"/>
    </xf>
    <xf numFmtId="0" fontId="4" fillId="0" borderId="22"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shrinkToFit="1"/>
    </xf>
    <xf numFmtId="0" fontId="4" fillId="2" borderId="63" xfId="0" applyFont="1" applyFill="1" applyBorder="1" applyAlignment="1" applyProtection="1">
      <alignment horizontal="center" vertical="top"/>
    </xf>
    <xf numFmtId="0" fontId="4" fillId="2" borderId="49" xfId="0" applyFont="1" applyFill="1" applyBorder="1" applyAlignment="1" applyProtection="1">
      <alignment vertical="top" wrapText="1"/>
    </xf>
    <xf numFmtId="0" fontId="4" fillId="2" borderId="64" xfId="0" applyFont="1" applyFill="1" applyBorder="1" applyAlignment="1" applyProtection="1">
      <alignment horizontal="left" vertical="top" wrapText="1"/>
    </xf>
    <xf numFmtId="0" fontId="4" fillId="4" borderId="41" xfId="0" applyFont="1" applyFill="1" applyBorder="1" applyAlignment="1" applyProtection="1">
      <alignment horizontal="left" vertical="top"/>
    </xf>
    <xf numFmtId="0" fontId="4" fillId="0" borderId="0" xfId="0" applyFont="1" applyFill="1" applyBorder="1" applyAlignment="1" applyProtection="1">
      <alignment horizontal="center" vertical="center" wrapText="1"/>
    </xf>
    <xf numFmtId="9" fontId="4" fillId="4" borderId="1" xfId="3" applyFont="1" applyFill="1" applyBorder="1" applyAlignment="1" applyProtection="1">
      <alignment horizontal="left" vertical="top" wrapText="1"/>
    </xf>
    <xf numFmtId="165" fontId="4" fillId="11" borderId="1" xfId="0" applyNumberFormat="1"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wrapText="1"/>
    </xf>
    <xf numFmtId="9" fontId="4" fillId="4" borderId="1" xfId="0" applyNumberFormat="1" applyFont="1" applyFill="1" applyBorder="1" applyAlignment="1" applyProtection="1">
      <alignment horizontal="center" vertical="center" wrapText="1" shrinkToFit="1"/>
    </xf>
    <xf numFmtId="165" fontId="4" fillId="11" borderId="1" xfId="3" applyNumberFormat="1" applyFont="1" applyFill="1" applyBorder="1" applyAlignment="1" applyProtection="1">
      <alignment horizontal="right" vertical="top"/>
    </xf>
    <xf numFmtId="9" fontId="4" fillId="11" borderId="1" xfId="3" applyFont="1" applyFill="1" applyBorder="1" applyAlignment="1" applyProtection="1">
      <alignment horizontal="left" vertical="top" wrapText="1"/>
    </xf>
    <xf numFmtId="0" fontId="4" fillId="0" borderId="13" xfId="0" applyFont="1" applyFill="1" applyBorder="1" applyAlignment="1" applyProtection="1">
      <alignment vertical="top" wrapText="1"/>
    </xf>
    <xf numFmtId="0" fontId="4" fillId="0" borderId="20" xfId="0" applyFont="1" applyFill="1" applyBorder="1" applyAlignment="1" applyProtection="1">
      <alignment vertical="top" wrapText="1"/>
    </xf>
    <xf numFmtId="0" fontId="4" fillId="0" borderId="21" xfId="0" applyFont="1" applyFill="1" applyBorder="1" applyAlignment="1" applyProtection="1">
      <alignment horizontal="left" vertical="top" wrapText="1"/>
    </xf>
    <xf numFmtId="0" fontId="4" fillId="0" borderId="25" xfId="0" applyFont="1" applyFill="1" applyBorder="1" applyAlignment="1" applyProtection="1">
      <alignment vertical="top" wrapText="1"/>
    </xf>
    <xf numFmtId="0" fontId="4" fillId="0" borderId="41" xfId="0" applyFont="1" applyFill="1" applyBorder="1" applyAlignment="1" applyProtection="1">
      <alignment horizontal="left" vertical="top" wrapText="1"/>
    </xf>
    <xf numFmtId="0" fontId="4" fillId="18" borderId="0" xfId="0" applyFont="1" applyFill="1" applyAlignment="1" applyProtection="1">
      <alignment vertical="top"/>
    </xf>
    <xf numFmtId="0" fontId="4" fillId="18" borderId="59" xfId="0" applyFont="1" applyFill="1" applyBorder="1" applyAlignment="1" applyProtection="1">
      <alignment horizontal="center" vertical="center" wrapText="1"/>
    </xf>
    <xf numFmtId="0" fontId="4" fillId="18" borderId="58" xfId="0" applyFont="1" applyFill="1" applyBorder="1" applyAlignment="1" applyProtection="1">
      <alignment horizontal="center" vertical="top" wrapText="1"/>
      <protection locked="0"/>
    </xf>
    <xf numFmtId="0" fontId="4" fillId="18" borderId="23" xfId="0" applyFont="1" applyFill="1" applyBorder="1" applyAlignment="1" applyProtection="1">
      <alignment horizontal="center" vertical="top" wrapText="1"/>
      <protection locked="0"/>
    </xf>
    <xf numFmtId="0" fontId="4" fillId="18" borderId="59" xfId="0" applyFont="1" applyFill="1" applyBorder="1" applyAlignment="1" applyProtection="1">
      <alignment horizontal="center" vertical="top" wrapText="1"/>
      <protection locked="0"/>
    </xf>
    <xf numFmtId="0" fontId="4" fillId="18" borderId="4" xfId="0" applyFont="1" applyFill="1" applyBorder="1" applyAlignment="1" applyProtection="1">
      <alignment horizontal="center" vertical="top" wrapText="1"/>
      <protection locked="0"/>
    </xf>
    <xf numFmtId="0" fontId="4" fillId="18" borderId="1" xfId="0" applyFont="1" applyFill="1" applyBorder="1" applyAlignment="1" applyProtection="1">
      <alignment horizontal="center" vertical="top" wrapText="1"/>
      <protection locked="0"/>
    </xf>
    <xf numFmtId="0" fontId="4" fillId="18" borderId="13" xfId="0" applyFont="1" applyFill="1" applyBorder="1" applyAlignment="1" applyProtection="1">
      <alignment horizontal="center" vertical="top" wrapText="1"/>
      <protection locked="0"/>
    </xf>
    <xf numFmtId="0" fontId="4" fillId="0" borderId="0" xfId="0" applyFont="1" applyAlignment="1">
      <alignment horizontal="left" vertical="top" wrapText="1"/>
    </xf>
    <xf numFmtId="0" fontId="4" fillId="0" borderId="1" xfId="0" applyFont="1" applyFill="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4" fillId="0" borderId="21" xfId="0"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166" fontId="4" fillId="11" borderId="40" xfId="1" applyNumberFormat="1" applyFont="1" applyFill="1" applyBorder="1" applyAlignment="1" applyProtection="1">
      <alignment horizontal="right" vertical="top" wrapText="1"/>
      <protection locked="0"/>
    </xf>
    <xf numFmtId="0" fontId="25" fillId="0" borderId="0" xfId="0" applyFont="1" applyFill="1" applyAlignment="1" applyProtection="1">
      <alignment vertical="top"/>
    </xf>
    <xf numFmtId="165" fontId="4" fillId="0" borderId="1" xfId="0" applyNumberFormat="1" applyFont="1" applyFill="1" applyBorder="1" applyAlignment="1" applyProtection="1">
      <alignment horizontal="left" vertical="top" wrapText="1"/>
    </xf>
    <xf numFmtId="0" fontId="10" fillId="0" borderId="0" xfId="0" applyFont="1" applyFill="1"/>
    <xf numFmtId="3" fontId="4" fillId="0" borderId="0" xfId="0" applyNumberFormat="1" applyFont="1" applyFill="1" applyAlignment="1">
      <alignment horizontal="left" vertical="top" wrapText="1"/>
    </xf>
    <xf numFmtId="0" fontId="4" fillId="11" borderId="11" xfId="0" applyFont="1" applyFill="1" applyBorder="1" applyAlignment="1" applyProtection="1">
      <alignment horizontal="right" vertical="top" wrapText="1"/>
      <protection locked="0"/>
    </xf>
    <xf numFmtId="3" fontId="4" fillId="2" borderId="11" xfId="0" applyNumberFormat="1" applyFont="1" applyFill="1" applyBorder="1" applyAlignment="1">
      <alignment horizontal="right" vertical="top" wrapText="1"/>
    </xf>
    <xf numFmtId="2" fontId="4" fillId="11" borderId="11" xfId="0" applyNumberFormat="1" applyFont="1" applyFill="1" applyBorder="1" applyAlignment="1" applyProtection="1">
      <alignment horizontal="right" vertical="top" wrapText="1"/>
      <protection locked="0"/>
    </xf>
    <xf numFmtId="164" fontId="4" fillId="11" borderId="11" xfId="0" applyNumberFormat="1" applyFont="1" applyFill="1" applyBorder="1" applyAlignment="1" applyProtection="1">
      <alignment horizontal="right" vertical="top" wrapText="1"/>
      <protection locked="0"/>
    </xf>
    <xf numFmtId="164" fontId="4" fillId="11" borderId="11" xfId="0" applyNumberFormat="1" applyFont="1" applyFill="1" applyBorder="1" applyAlignment="1" applyProtection="1">
      <alignment horizontal="center" vertical="top" wrapText="1"/>
      <protection locked="0"/>
    </xf>
    <xf numFmtId="165" fontId="4" fillId="0" borderId="1" xfId="3" applyNumberFormat="1" applyFont="1" applyFill="1" applyBorder="1" applyAlignment="1">
      <alignment horizontal="center" vertical="center" wrapText="1"/>
    </xf>
    <xf numFmtId="9" fontId="4" fillId="0" borderId="1" xfId="3" applyFont="1" applyBorder="1" applyAlignment="1">
      <alignment horizontal="center" vertical="center" wrapText="1"/>
    </xf>
    <xf numFmtId="0" fontId="4" fillId="4" borderId="1" xfId="0" applyFont="1" applyFill="1" applyBorder="1" applyAlignment="1" applyProtection="1">
      <alignment horizontal="center" vertical="top" wrapText="1"/>
    </xf>
    <xf numFmtId="0" fontId="4" fillId="4" borderId="53" xfId="0" applyFont="1" applyFill="1" applyBorder="1" applyAlignment="1" applyProtection="1">
      <alignment horizontal="center" vertical="top" wrapText="1" shrinkToFit="1"/>
    </xf>
    <xf numFmtId="0" fontId="4" fillId="0" borderId="11" xfId="0" applyFont="1" applyFill="1" applyBorder="1" applyAlignment="1" applyProtection="1">
      <alignment horizontal="center" vertical="top" wrapText="1" shrinkToFit="1"/>
    </xf>
    <xf numFmtId="0" fontId="4" fillId="0" borderId="4" xfId="0" applyFont="1" applyFill="1" applyBorder="1" applyAlignment="1" applyProtection="1">
      <alignment horizontal="center" vertical="top" wrapText="1" shrinkToFit="1"/>
    </xf>
    <xf numFmtId="0" fontId="4" fillId="0" borderId="23" xfId="0" applyFont="1" applyFill="1" applyBorder="1" applyAlignment="1" applyProtection="1">
      <alignment vertical="top" wrapText="1"/>
    </xf>
    <xf numFmtId="0" fontId="4" fillId="0" borderId="23" xfId="0" applyFont="1" applyBorder="1" applyAlignment="1" applyProtection="1">
      <alignment vertical="top"/>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1" xfId="0" applyFont="1" applyBorder="1" applyAlignment="1" applyProtection="1">
      <alignment horizontal="center" vertical="center" wrapText="1"/>
    </xf>
    <xf numFmtId="164" fontId="4" fillId="0" borderId="27" xfId="0" applyNumberFormat="1" applyFont="1" applyFill="1" applyBorder="1" applyAlignment="1" applyProtection="1">
      <alignment horizontal="right" vertical="top" wrapText="1"/>
    </xf>
    <xf numFmtId="166" fontId="4" fillId="0" borderId="21" xfId="1" applyNumberFormat="1" applyFont="1" applyFill="1" applyBorder="1" applyAlignment="1" applyProtection="1">
      <alignment horizontal="right" vertical="top" wrapText="1"/>
    </xf>
    <xf numFmtId="164" fontId="4" fillId="7" borderId="32" xfId="0" applyNumberFormat="1" applyFont="1" applyFill="1" applyBorder="1" applyAlignment="1" applyProtection="1">
      <alignment horizontal="right" vertical="top" wrapText="1"/>
    </xf>
    <xf numFmtId="3" fontId="4" fillId="0" borderId="13" xfId="0" applyNumberFormat="1" applyFont="1" applyFill="1" applyBorder="1" applyAlignment="1" applyProtection="1">
      <alignment horizontal="right" vertical="top" wrapText="1"/>
    </xf>
    <xf numFmtId="166" fontId="4" fillId="0" borderId="20" xfId="1" applyNumberFormat="1" applyFont="1" applyFill="1" applyBorder="1" applyAlignment="1" applyProtection="1">
      <alignment horizontal="right" vertical="top" wrapText="1"/>
    </xf>
    <xf numFmtId="164" fontId="4" fillId="7" borderId="32" xfId="0" applyNumberFormat="1" applyFont="1" applyFill="1" applyBorder="1" applyAlignment="1" applyProtection="1">
      <alignment horizontal="right" vertical="top"/>
    </xf>
    <xf numFmtId="164" fontId="4" fillId="0" borderId="27" xfId="0" applyNumberFormat="1" applyFont="1" applyBorder="1" applyAlignment="1" applyProtection="1">
      <alignment vertical="top"/>
    </xf>
    <xf numFmtId="3" fontId="4" fillId="0" borderId="1" xfId="0" applyNumberFormat="1" applyFont="1" applyBorder="1" applyAlignment="1" applyProtection="1">
      <alignment vertical="top"/>
    </xf>
    <xf numFmtId="164" fontId="4" fillId="0" borderId="27" xfId="0" applyNumberFormat="1" applyFont="1" applyFill="1" applyBorder="1" applyAlignment="1" applyProtection="1">
      <alignment horizontal="right" vertical="top"/>
    </xf>
    <xf numFmtId="2" fontId="4" fillId="0" borderId="0" xfId="0" applyNumberFormat="1" applyFont="1" applyFill="1" applyAlignment="1" applyProtection="1">
      <alignment vertical="top"/>
    </xf>
    <xf numFmtId="0" fontId="5" fillId="0" borderId="0" xfId="0" applyFont="1" applyFill="1" applyBorder="1" applyAlignment="1" applyProtection="1">
      <alignment horizontal="left" vertical="top"/>
    </xf>
    <xf numFmtId="0" fontId="4" fillId="0" borderId="1" xfId="0" applyFont="1" applyBorder="1" applyAlignment="1">
      <alignment horizontal="left" vertical="top"/>
    </xf>
    <xf numFmtId="0" fontId="4" fillId="0" borderId="23" xfId="0" applyFont="1" applyBorder="1" applyAlignment="1">
      <alignment horizontal="left" vertical="top"/>
    </xf>
    <xf numFmtId="0" fontId="4" fillId="0" borderId="11" xfId="0" applyFont="1" applyFill="1" applyBorder="1" applyAlignment="1" applyProtection="1">
      <alignment horizontal="left" vertical="top" wrapText="1"/>
      <protection locked="0"/>
    </xf>
    <xf numFmtId="0" fontId="4" fillId="7" borderId="11" xfId="0" applyFont="1" applyFill="1" applyBorder="1" applyAlignment="1" applyProtection="1">
      <alignment horizontal="left" vertical="top" wrapText="1"/>
      <protection locked="0"/>
    </xf>
    <xf numFmtId="0" fontId="4" fillId="0" borderId="0" xfId="0" applyFont="1" applyAlignment="1">
      <alignment horizontal="center" vertical="top"/>
    </xf>
    <xf numFmtId="0" fontId="4" fillId="0" borderId="0" xfId="0" applyFont="1" applyFill="1" applyAlignment="1">
      <alignment horizontal="left" vertical="top"/>
    </xf>
    <xf numFmtId="0" fontId="4" fillId="0"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wrapText="1"/>
    </xf>
    <xf numFmtId="0" fontId="26" fillId="0" borderId="0" xfId="0" applyFont="1" applyFill="1" applyAlignment="1">
      <alignment vertical="top"/>
    </xf>
    <xf numFmtId="9" fontId="4" fillId="0" borderId="22" xfId="0" applyNumberFormat="1" applyFont="1" applyBorder="1" applyAlignment="1">
      <alignment horizontal="center" vertical="center" wrapText="1"/>
    </xf>
    <xf numFmtId="165" fontId="4" fillId="19" borderId="1" xfId="3" applyNumberFormat="1"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165" fontId="4" fillId="0" borderId="1" xfId="3" applyNumberFormat="1" applyFont="1" applyFill="1" applyBorder="1" applyAlignment="1">
      <alignment horizontal="center" vertical="top" wrapText="1"/>
    </xf>
    <xf numFmtId="164" fontId="4" fillId="0" borderId="0" xfId="0" applyNumberFormat="1" applyFont="1" applyFill="1" applyBorder="1" applyAlignment="1">
      <alignment horizontal="left" vertical="top"/>
    </xf>
    <xf numFmtId="164" fontId="2" fillId="0" borderId="1" xfId="2" applyNumberFormat="1" applyFill="1" applyBorder="1" applyAlignment="1" applyProtection="1">
      <alignment horizontal="left" vertical="top" wrapText="1"/>
    </xf>
    <xf numFmtId="0" fontId="4" fillId="0" borderId="23" xfId="0" applyFont="1" applyBorder="1" applyAlignment="1">
      <alignment horizontal="center" vertical="center" wrapText="1"/>
    </xf>
    <xf numFmtId="164" fontId="4" fillId="0" borderId="1" xfId="0" applyNumberFormat="1" applyFont="1" applyFill="1" applyBorder="1" applyAlignment="1">
      <alignment horizontal="center" vertical="top" wrapText="1"/>
    </xf>
    <xf numFmtId="165" fontId="4" fillId="0" borderId="1" xfId="0" applyNumberFormat="1" applyFont="1" applyBorder="1" applyAlignment="1">
      <alignment horizontal="center" vertical="center" wrapText="1"/>
    </xf>
    <xf numFmtId="0" fontId="4" fillId="0" borderId="1" xfId="0" applyFont="1" applyFill="1" applyBorder="1" applyAlignment="1" applyProtection="1">
      <alignment horizontal="left" vertical="top" wrapText="1"/>
    </xf>
    <xf numFmtId="0" fontId="4" fillId="0" borderId="1" xfId="0" applyFont="1" applyFill="1" applyBorder="1" applyAlignment="1" applyProtection="1">
      <alignment horizontal="center" vertical="center" wrapText="1"/>
    </xf>
    <xf numFmtId="0" fontId="4" fillId="11" borderId="1" xfId="0" applyFont="1" applyFill="1" applyBorder="1" applyAlignment="1" applyProtection="1">
      <alignment horizontal="left" vertical="top" wrapText="1"/>
    </xf>
    <xf numFmtId="165" fontId="4" fillId="11" borderId="19" xfId="3" applyNumberFormat="1" applyFont="1" applyFill="1" applyBorder="1" applyAlignment="1" applyProtection="1">
      <alignment horizontal="right" vertical="top" wrapText="1"/>
    </xf>
    <xf numFmtId="165" fontId="4" fillId="11" borderId="1" xfId="3" applyNumberFormat="1" applyFont="1" applyFill="1" applyBorder="1" applyAlignment="1" applyProtection="1">
      <alignment horizontal="right" vertical="top" wrapText="1"/>
      <protection locked="0"/>
    </xf>
    <xf numFmtId="9" fontId="4" fillId="0" borderId="1" xfId="3" applyFont="1" applyFill="1" applyBorder="1" applyAlignment="1" applyProtection="1">
      <alignment vertical="top"/>
    </xf>
    <xf numFmtId="3" fontId="4" fillId="0" borderId="1" xfId="0" applyNumberFormat="1" applyFont="1" applyFill="1" applyBorder="1" applyAlignment="1" applyProtection="1">
      <alignment vertical="top" wrapText="1"/>
    </xf>
    <xf numFmtId="165" fontId="4" fillId="0" borderId="1" xfId="3" applyNumberFormat="1" applyFont="1" applyFill="1" applyBorder="1" applyAlignment="1" applyProtection="1">
      <alignment vertical="top" wrapText="1"/>
    </xf>
    <xf numFmtId="0" fontId="4" fillId="2" borderId="1" xfId="0" applyFont="1" applyFill="1" applyBorder="1" applyAlignment="1" applyProtection="1">
      <alignment horizontal="left" vertical="top" wrapText="1" shrinkToFit="1"/>
    </xf>
    <xf numFmtId="9" fontId="4"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shrinkToFit="1"/>
    </xf>
    <xf numFmtId="0" fontId="4" fillId="0" borderId="36" xfId="0" applyFont="1" applyFill="1" applyBorder="1" applyAlignment="1" applyProtection="1">
      <alignment vertical="top" wrapText="1"/>
    </xf>
    <xf numFmtId="0" fontId="4" fillId="0" borderId="11" xfId="0" applyFont="1" applyFill="1" applyBorder="1" applyAlignment="1" applyProtection="1">
      <alignment horizontal="center" vertical="top"/>
    </xf>
    <xf numFmtId="10" fontId="4" fillId="0" borderId="1" xfId="0" applyNumberFormat="1" applyFont="1" applyFill="1" applyBorder="1" applyAlignment="1" applyProtection="1">
      <alignment horizontal="left" vertical="top" wrapText="1"/>
    </xf>
    <xf numFmtId="0" fontId="4" fillId="0" borderId="58" xfId="0" applyFont="1" applyFill="1" applyBorder="1" applyAlignment="1" applyProtection="1">
      <alignment horizontal="center" vertical="center" wrapText="1"/>
    </xf>
    <xf numFmtId="0" fontId="28" fillId="0" borderId="0" xfId="0" applyFont="1" applyFill="1" applyAlignment="1">
      <alignment vertical="top"/>
    </xf>
    <xf numFmtId="0" fontId="29" fillId="0" borderId="0" xfId="0" applyFont="1" applyAlignment="1">
      <alignment wrapText="1"/>
    </xf>
    <xf numFmtId="0" fontId="29" fillId="0" borderId="0" xfId="0" applyFont="1"/>
    <xf numFmtId="0" fontId="30" fillId="0" borderId="0" xfId="0" applyFont="1" applyAlignment="1">
      <alignment horizontal="center" vertical="top"/>
    </xf>
    <xf numFmtId="0" fontId="31" fillId="0" borderId="0" xfId="0" applyFont="1" applyAlignment="1">
      <alignment vertical="top"/>
    </xf>
    <xf numFmtId="15" fontId="27" fillId="0" borderId="0" xfId="0" applyNumberFormat="1" applyFont="1" applyAlignment="1">
      <alignment horizontal="left" vertical="top"/>
    </xf>
    <xf numFmtId="0" fontId="4" fillId="0" borderId="0" xfId="0" applyFont="1" applyFill="1" applyAlignment="1">
      <alignment horizontal="left" vertical="top" wrapText="1"/>
    </xf>
    <xf numFmtId="0" fontId="4" fillId="0" borderId="0" xfId="0" applyFont="1" applyAlignment="1">
      <alignment horizontal="left" vertical="top" wrapText="1"/>
    </xf>
    <xf numFmtId="0" fontId="21" fillId="12" borderId="0" xfId="0" applyFont="1" applyFill="1" applyAlignment="1">
      <alignment horizontal="center" vertical="top"/>
    </xf>
    <xf numFmtId="0" fontId="4" fillId="0" borderId="1" xfId="0" applyFont="1" applyFill="1" applyBorder="1" applyAlignment="1" applyProtection="1">
      <alignment horizontal="left" vertical="top" wrapText="1"/>
    </xf>
    <xf numFmtId="0" fontId="4" fillId="0" borderId="40" xfId="0" applyFont="1" applyFill="1" applyBorder="1" applyAlignment="1" applyProtection="1">
      <alignment horizontal="center" vertical="top" wrapText="1" shrinkToFit="1"/>
    </xf>
    <xf numFmtId="0" fontId="4" fillId="0" borderId="36" xfId="0" applyFont="1" applyFill="1" applyBorder="1" applyAlignment="1" applyProtection="1">
      <alignment horizontal="center" vertical="top" wrapText="1" shrinkToFit="1"/>
    </xf>
    <xf numFmtId="0" fontId="4" fillId="0" borderId="41" xfId="0" applyFont="1" applyFill="1" applyBorder="1" applyAlignment="1" applyProtection="1">
      <alignment horizontal="center" vertical="top" wrapText="1" shrinkToFit="1"/>
    </xf>
    <xf numFmtId="0" fontId="4" fillId="0" borderId="40" xfId="0" applyFont="1" applyFill="1" applyBorder="1" applyAlignment="1" applyProtection="1">
      <alignment horizontal="left" vertical="top" wrapText="1" shrinkToFit="1"/>
    </xf>
    <xf numFmtId="0" fontId="4" fillId="0" borderId="36" xfId="0" applyFont="1" applyFill="1" applyBorder="1" applyAlignment="1" applyProtection="1">
      <alignment horizontal="left" vertical="top" wrapText="1" shrinkToFit="1"/>
    </xf>
    <xf numFmtId="0" fontId="4" fillId="0" borderId="41" xfId="0" applyFont="1" applyFill="1" applyBorder="1" applyAlignment="1" applyProtection="1">
      <alignment horizontal="left" vertical="top" wrapText="1" shrinkToFit="1"/>
    </xf>
    <xf numFmtId="0" fontId="4" fillId="11" borderId="40" xfId="0" applyFont="1" applyFill="1" applyBorder="1" applyAlignment="1" applyProtection="1">
      <alignment horizontal="left" vertical="top" wrapText="1"/>
      <protection locked="0"/>
    </xf>
    <xf numFmtId="0" fontId="4" fillId="11" borderId="36" xfId="0" applyFont="1" applyFill="1" applyBorder="1" applyAlignment="1" applyProtection="1">
      <alignment horizontal="left" vertical="top" wrapText="1"/>
      <protection locked="0"/>
    </xf>
    <xf numFmtId="0" fontId="4" fillId="11" borderId="41" xfId="0" applyFont="1" applyFill="1" applyBorder="1" applyAlignment="1" applyProtection="1">
      <alignment horizontal="left" vertical="top" wrapText="1"/>
      <protection locked="0"/>
    </xf>
    <xf numFmtId="0" fontId="4" fillId="0" borderId="37" xfId="0" applyFont="1" applyFill="1" applyBorder="1" applyAlignment="1" applyProtection="1">
      <alignment horizontal="left" vertical="top" wrapText="1"/>
    </xf>
    <xf numFmtId="0" fontId="4" fillId="0" borderId="38" xfId="0" applyFont="1" applyFill="1" applyBorder="1" applyAlignment="1" applyProtection="1">
      <alignment horizontal="left" vertical="top" wrapText="1"/>
    </xf>
    <xf numFmtId="0" fontId="4" fillId="0" borderId="39" xfId="0" applyFont="1" applyFill="1" applyBorder="1" applyAlignment="1" applyProtection="1">
      <alignment horizontal="left" vertical="top" wrapText="1"/>
    </xf>
    <xf numFmtId="0" fontId="4" fillId="0" borderId="17" xfId="0" applyFont="1" applyFill="1" applyBorder="1" applyAlignment="1" applyProtection="1">
      <alignment horizontal="left" vertical="top" wrapText="1"/>
    </xf>
    <xf numFmtId="0" fontId="4" fillId="0" borderId="43" xfId="0"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0" fontId="4" fillId="0" borderId="13" xfId="0" applyFont="1" applyFill="1" applyBorder="1" applyAlignment="1" applyProtection="1">
      <alignment horizontal="center" vertical="center" wrapText="1"/>
    </xf>
    <xf numFmtId="0" fontId="4" fillId="0" borderId="35" xfId="0" applyFont="1" applyFill="1" applyBorder="1" applyAlignment="1" applyProtection="1">
      <alignment horizontal="left" vertical="top" wrapText="1"/>
    </xf>
    <xf numFmtId="0" fontId="4" fillId="0" borderId="42" xfId="0" applyFont="1" applyFill="1" applyBorder="1" applyAlignment="1" applyProtection="1">
      <alignment horizontal="left" vertical="top" wrapText="1"/>
    </xf>
    <xf numFmtId="0" fontId="4" fillId="0" borderId="67" xfId="0" applyFont="1" applyFill="1" applyBorder="1" applyAlignment="1" applyProtection="1">
      <alignment horizontal="left" vertical="top" wrapText="1"/>
    </xf>
    <xf numFmtId="0" fontId="4" fillId="0" borderId="40" xfId="0" applyFont="1" applyFill="1" applyBorder="1" applyAlignment="1" applyProtection="1">
      <alignment horizontal="center" vertical="top" wrapText="1"/>
    </xf>
    <xf numFmtId="0" fontId="4" fillId="0" borderId="36" xfId="0" applyFont="1" applyFill="1" applyBorder="1" applyAlignment="1" applyProtection="1">
      <alignment horizontal="center" vertical="top" wrapText="1"/>
    </xf>
    <xf numFmtId="0" fontId="4" fillId="0" borderId="41" xfId="0" applyFont="1" applyFill="1" applyBorder="1" applyAlignment="1" applyProtection="1">
      <alignment horizontal="center" vertical="top" wrapText="1"/>
    </xf>
    <xf numFmtId="0" fontId="4" fillId="0" borderId="40"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41" xfId="0" applyFont="1" applyFill="1" applyBorder="1" applyAlignment="1" applyProtection="1">
      <alignment horizontal="left" vertical="top" wrapText="1"/>
    </xf>
    <xf numFmtId="0" fontId="4" fillId="11" borderId="61" xfId="0" applyFont="1" applyFill="1" applyBorder="1" applyAlignment="1" applyProtection="1">
      <alignment horizontal="left" vertical="top" wrapText="1"/>
      <protection locked="0"/>
    </xf>
    <xf numFmtId="0" fontId="4" fillId="11" borderId="65" xfId="0" applyFont="1" applyFill="1" applyBorder="1" applyAlignment="1" applyProtection="1">
      <alignment horizontal="left" vertical="top" wrapText="1"/>
      <protection locked="0"/>
    </xf>
    <xf numFmtId="0" fontId="4" fillId="11" borderId="62" xfId="0" applyFont="1" applyFill="1" applyBorder="1" applyAlignment="1" applyProtection="1">
      <alignment horizontal="left" vertical="top" wrapText="1"/>
      <protection locked="0"/>
    </xf>
    <xf numFmtId="166" fontId="4" fillId="11" borderId="40" xfId="1" applyNumberFormat="1" applyFont="1" applyFill="1" applyBorder="1" applyAlignment="1" applyProtection="1">
      <alignment horizontal="right" vertical="top" wrapText="1"/>
      <protection locked="0"/>
    </xf>
    <xf numFmtId="166" fontId="4" fillId="11" borderId="36" xfId="1" applyNumberFormat="1" applyFont="1" applyFill="1" applyBorder="1" applyAlignment="1" applyProtection="1">
      <alignment horizontal="right" vertical="top" wrapText="1"/>
      <protection locked="0"/>
    </xf>
    <xf numFmtId="166" fontId="4" fillId="11" borderId="41" xfId="1" applyNumberFormat="1" applyFont="1" applyFill="1" applyBorder="1" applyAlignment="1" applyProtection="1">
      <alignment horizontal="right" vertical="top" wrapText="1"/>
      <protection locked="0"/>
    </xf>
    <xf numFmtId="164" fontId="4" fillId="0" borderId="61" xfId="0" applyNumberFormat="1" applyFont="1" applyFill="1" applyBorder="1" applyAlignment="1" applyProtection="1">
      <alignment horizontal="right" vertical="top"/>
    </xf>
    <xf numFmtId="164" fontId="4" fillId="0" borderId="65" xfId="0" applyNumberFormat="1" applyFont="1" applyFill="1" applyBorder="1" applyAlignment="1" applyProtection="1">
      <alignment horizontal="right" vertical="top"/>
    </xf>
    <xf numFmtId="164" fontId="4" fillId="0" borderId="62" xfId="0" applyNumberFormat="1" applyFont="1" applyFill="1" applyBorder="1" applyAlignment="1" applyProtection="1">
      <alignment horizontal="right" vertical="top"/>
    </xf>
    <xf numFmtId="164" fontId="4" fillId="0" borderId="40" xfId="0" applyNumberFormat="1" applyFont="1" applyFill="1" applyBorder="1" applyAlignment="1" applyProtection="1">
      <alignment horizontal="right" vertical="top" wrapText="1"/>
    </xf>
    <xf numFmtId="164" fontId="4" fillId="0" borderId="36" xfId="0" applyNumberFormat="1" applyFont="1" applyFill="1" applyBorder="1" applyAlignment="1" applyProtection="1">
      <alignment horizontal="right" vertical="top" wrapText="1"/>
    </xf>
    <xf numFmtId="164" fontId="4" fillId="0" borderId="41" xfId="0" applyNumberFormat="1" applyFont="1" applyFill="1" applyBorder="1" applyAlignment="1" applyProtection="1">
      <alignment horizontal="right" vertical="top" wrapText="1"/>
    </xf>
    <xf numFmtId="0" fontId="4" fillId="0" borderId="2" xfId="0" applyFont="1" applyFill="1" applyBorder="1" applyAlignment="1" applyProtection="1">
      <alignment horizontal="left" vertical="top" wrapText="1"/>
    </xf>
    <xf numFmtId="0" fontId="4" fillId="0" borderId="22" xfId="0" applyFont="1" applyFill="1" applyBorder="1" applyAlignment="1" applyProtection="1">
      <alignment horizontal="left" vertical="top" wrapText="1"/>
    </xf>
    <xf numFmtId="0" fontId="4" fillId="0" borderId="23" xfId="0" applyFont="1" applyFill="1" applyBorder="1" applyAlignment="1" applyProtection="1">
      <alignment horizontal="left" vertical="top"/>
    </xf>
    <xf numFmtId="0" fontId="4" fillId="0" borderId="15" xfId="0" applyFont="1" applyFill="1" applyBorder="1" applyAlignment="1" applyProtection="1">
      <alignment horizontal="left" vertical="top"/>
    </xf>
    <xf numFmtId="0" fontId="4" fillId="0" borderId="2" xfId="0" applyFont="1" applyFill="1" applyBorder="1" applyAlignment="1" applyProtection="1">
      <alignment horizontal="left" vertical="top"/>
    </xf>
    <xf numFmtId="0" fontId="4" fillId="0" borderId="36" xfId="0" applyFont="1" applyFill="1" applyBorder="1" applyAlignment="1" applyProtection="1">
      <alignment horizontal="left" vertical="top"/>
    </xf>
    <xf numFmtId="0" fontId="4" fillId="0" borderId="22" xfId="0" applyFont="1" applyFill="1" applyBorder="1" applyAlignment="1" applyProtection="1">
      <alignment horizontal="left" vertical="top"/>
    </xf>
    <xf numFmtId="0" fontId="4" fillId="0" borderId="44" xfId="0" applyFont="1" applyFill="1" applyBorder="1" applyAlignment="1" applyProtection="1">
      <alignment horizontal="left" vertical="top" wrapText="1"/>
    </xf>
    <xf numFmtId="0" fontId="4" fillId="0" borderId="45" xfId="0" applyFont="1" applyFill="1" applyBorder="1" applyAlignment="1" applyProtection="1">
      <alignment horizontal="left" vertical="top" wrapText="1"/>
    </xf>
    <xf numFmtId="0" fontId="4" fillId="0" borderId="46" xfId="0" applyFont="1" applyFill="1" applyBorder="1" applyAlignment="1" applyProtection="1">
      <alignment horizontal="left" vertical="top" wrapText="1"/>
    </xf>
    <xf numFmtId="0" fontId="4" fillId="0" borderId="47" xfId="0" applyFont="1" applyFill="1" applyBorder="1" applyAlignment="1" applyProtection="1">
      <alignment horizontal="left" vertical="top" wrapText="1"/>
    </xf>
    <xf numFmtId="3" fontId="4" fillId="0" borderId="40" xfId="0" applyNumberFormat="1" applyFont="1" applyFill="1" applyBorder="1" applyAlignment="1" applyProtection="1">
      <alignment horizontal="right" vertical="top" wrapText="1"/>
    </xf>
    <xf numFmtId="3" fontId="4" fillId="0" borderId="36" xfId="0" applyNumberFormat="1" applyFont="1" applyFill="1" applyBorder="1" applyAlignment="1" applyProtection="1">
      <alignment horizontal="right" vertical="top" wrapText="1"/>
    </xf>
    <xf numFmtId="3" fontId="4" fillId="0" borderId="41" xfId="0" applyNumberFormat="1" applyFont="1" applyFill="1" applyBorder="1" applyAlignment="1" applyProtection="1">
      <alignment horizontal="right" vertical="top" wrapText="1"/>
    </xf>
    <xf numFmtId="166" fontId="4" fillId="0" borderId="40" xfId="1" applyNumberFormat="1" applyFont="1" applyFill="1" applyBorder="1" applyAlignment="1" applyProtection="1">
      <alignment horizontal="right" vertical="top" wrapText="1"/>
    </xf>
    <xf numFmtId="166" fontId="4" fillId="0" borderId="36" xfId="1" applyNumberFormat="1" applyFont="1" applyFill="1" applyBorder="1" applyAlignment="1" applyProtection="1">
      <alignment horizontal="right" vertical="top" wrapText="1"/>
    </xf>
    <xf numFmtId="166" fontId="4" fillId="0" borderId="41" xfId="1" applyNumberFormat="1" applyFont="1" applyFill="1" applyBorder="1" applyAlignment="1" applyProtection="1">
      <alignment horizontal="right" vertical="top" wrapText="1"/>
    </xf>
    <xf numFmtId="0" fontId="4" fillId="0" borderId="40"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41" xfId="0" applyFont="1" applyFill="1" applyBorder="1" applyAlignment="1" applyProtection="1">
      <alignment horizontal="left" vertical="top" wrapText="1"/>
      <protection locked="0"/>
    </xf>
    <xf numFmtId="0" fontId="4" fillId="0" borderId="1" xfId="0" applyFont="1" applyFill="1" applyBorder="1" applyAlignment="1" applyProtection="1">
      <alignment horizontal="center" vertical="center" wrapText="1"/>
    </xf>
    <xf numFmtId="0" fontId="4" fillId="0" borderId="60" xfId="0" applyFont="1" applyFill="1" applyBorder="1" applyAlignment="1" applyProtection="1">
      <alignment horizontal="left" vertical="top" wrapText="1"/>
    </xf>
    <xf numFmtId="0" fontId="4" fillId="0" borderId="50" xfId="0" applyFont="1" applyFill="1" applyBorder="1" applyAlignment="1" applyProtection="1">
      <alignment horizontal="left" vertical="top" wrapText="1"/>
    </xf>
    <xf numFmtId="0" fontId="4" fillId="7" borderId="40" xfId="0" applyFont="1" applyFill="1" applyBorder="1" applyAlignment="1" applyProtection="1">
      <alignment horizontal="left" vertical="top" wrapText="1"/>
      <protection locked="0"/>
    </xf>
    <xf numFmtId="0" fontId="4" fillId="7" borderId="41" xfId="0" applyFont="1" applyFill="1" applyBorder="1" applyAlignment="1" applyProtection="1">
      <alignment horizontal="left" vertical="top" wrapText="1"/>
      <protection locked="0"/>
    </xf>
    <xf numFmtId="164" fontId="4" fillId="0" borderId="14" xfId="0" applyNumberFormat="1" applyFont="1" applyFill="1" applyBorder="1" applyAlignment="1" applyProtection="1">
      <alignment horizontal="right" vertical="top" wrapText="1"/>
    </xf>
    <xf numFmtId="164" fontId="4" fillId="0" borderId="45"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3" fontId="4" fillId="0" borderId="2" xfId="0" applyNumberFormat="1" applyFont="1" applyFill="1" applyBorder="1" applyAlignment="1" applyProtection="1">
      <alignment horizontal="right" vertical="top" wrapText="1"/>
    </xf>
    <xf numFmtId="1" fontId="4" fillId="0" borderId="1" xfId="0" applyNumberFormat="1" applyFont="1" applyBorder="1" applyAlignment="1" applyProtection="1">
      <alignment horizontal="center" vertical="center" wrapText="1"/>
    </xf>
    <xf numFmtId="9" fontId="4" fillId="11" borderId="40" xfId="3" applyFont="1" applyFill="1" applyBorder="1" applyAlignment="1" applyProtection="1">
      <alignment horizontal="left" vertical="top" wrapText="1"/>
      <protection locked="0"/>
    </xf>
    <xf numFmtId="9" fontId="4" fillId="11" borderId="36" xfId="3" applyFont="1" applyFill="1" applyBorder="1" applyAlignment="1" applyProtection="1">
      <alignment horizontal="left" vertical="top" wrapText="1"/>
      <protection locked="0"/>
    </xf>
    <xf numFmtId="9" fontId="4" fillId="11" borderId="41" xfId="3" applyFont="1" applyFill="1" applyBorder="1" applyAlignment="1" applyProtection="1">
      <alignment horizontal="left" vertical="top" wrapText="1"/>
      <protection locked="0"/>
    </xf>
    <xf numFmtId="164" fontId="4" fillId="0" borderId="61" xfId="0" applyNumberFormat="1" applyFont="1" applyFill="1" applyBorder="1" applyAlignment="1" applyProtection="1">
      <alignment horizontal="right" vertical="top" wrapText="1"/>
    </xf>
    <xf numFmtId="164" fontId="4" fillId="0" borderId="65" xfId="0" applyNumberFormat="1" applyFont="1" applyFill="1" applyBorder="1" applyAlignment="1" applyProtection="1">
      <alignment horizontal="right" vertical="top" wrapText="1"/>
    </xf>
    <xf numFmtId="164" fontId="4" fillId="0" borderId="62" xfId="0" applyNumberFormat="1" applyFont="1" applyFill="1" applyBorder="1" applyAlignment="1" applyProtection="1">
      <alignment horizontal="right" vertical="top" wrapText="1"/>
    </xf>
    <xf numFmtId="166" fontId="4" fillId="0" borderId="4" xfId="1" applyNumberFormat="1" applyFont="1" applyFill="1" applyBorder="1" applyAlignment="1" applyProtection="1">
      <alignment horizontal="right" vertical="top" wrapText="1"/>
    </xf>
    <xf numFmtId="166" fontId="4" fillId="0" borderId="2" xfId="1" applyNumberFormat="1" applyFont="1" applyFill="1" applyBorder="1" applyAlignment="1" applyProtection="1">
      <alignment horizontal="right" vertical="top" wrapText="1"/>
    </xf>
    <xf numFmtId="164" fontId="4" fillId="0" borderId="24" xfId="0" applyNumberFormat="1" applyFont="1" applyFill="1" applyBorder="1" applyAlignment="1" applyProtection="1">
      <alignment horizontal="right" vertical="top"/>
    </xf>
    <xf numFmtId="164" fontId="4" fillId="0" borderId="34" xfId="0" applyNumberFormat="1" applyFont="1" applyFill="1" applyBorder="1" applyAlignment="1" applyProtection="1">
      <alignment horizontal="right" vertical="top"/>
    </xf>
    <xf numFmtId="0" fontId="4" fillId="0" borderId="23"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23" xfId="0" applyFont="1" applyFill="1" applyBorder="1" applyAlignment="1" applyProtection="1">
      <alignment horizontal="left" vertical="top" wrapText="1"/>
    </xf>
    <xf numFmtId="0" fontId="4" fillId="0" borderId="15" xfId="0" applyFont="1" applyFill="1" applyBorder="1" applyAlignment="1" applyProtection="1">
      <alignment horizontal="left" vertical="top" wrapText="1"/>
    </xf>
    <xf numFmtId="0" fontId="4" fillId="4" borderId="23" xfId="0" applyFont="1" applyFill="1" applyBorder="1" applyAlignment="1" applyProtection="1">
      <alignment horizontal="left" vertical="top" wrapText="1" shrinkToFit="1"/>
    </xf>
    <xf numFmtId="0" fontId="4" fillId="4" borderId="15" xfId="0" applyFont="1" applyFill="1" applyBorder="1" applyAlignment="1" applyProtection="1">
      <alignment horizontal="left" vertical="top" wrapText="1" shrinkToFit="1"/>
    </xf>
    <xf numFmtId="0" fontId="4" fillId="11" borderId="1" xfId="0" applyFont="1" applyFill="1" applyBorder="1" applyAlignment="1" applyProtection="1">
      <alignment horizontal="left" vertical="top" wrapText="1"/>
    </xf>
    <xf numFmtId="0" fontId="22" fillId="6" borderId="23" xfId="0" applyFont="1" applyFill="1" applyBorder="1" applyAlignment="1" applyProtection="1">
      <alignment horizontal="left" vertical="top" wrapText="1"/>
    </xf>
    <xf numFmtId="0" fontId="22" fillId="6" borderId="48" xfId="0" applyFont="1" applyFill="1" applyBorder="1" applyAlignment="1" applyProtection="1">
      <alignment horizontal="left" vertical="top" wrapText="1"/>
    </xf>
    <xf numFmtId="0" fontId="22" fillId="6" borderId="15" xfId="0" applyFont="1" applyFill="1" applyBorder="1" applyAlignment="1" applyProtection="1">
      <alignment horizontal="left" vertical="top" wrapText="1"/>
    </xf>
    <xf numFmtId="0" fontId="4" fillId="0" borderId="2"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48" xfId="0" applyFont="1" applyFill="1" applyBorder="1" applyAlignment="1" applyProtection="1">
      <alignment horizontal="left" vertical="top" wrapText="1"/>
    </xf>
    <xf numFmtId="0" fontId="4" fillId="0" borderId="44"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 fillId="0" borderId="45" xfId="0" applyFont="1" applyBorder="1" applyAlignment="1" applyProtection="1">
      <alignment horizontal="center" vertical="center" wrapText="1"/>
    </xf>
    <xf numFmtId="0" fontId="4" fillId="0" borderId="5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51"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48" xfId="0" applyFont="1" applyFill="1" applyBorder="1" applyAlignment="1" applyProtection="1">
      <alignment horizontal="center" vertical="center" wrapText="1"/>
    </xf>
    <xf numFmtId="2" fontId="4" fillId="0" borderId="1" xfId="0" applyNumberFormat="1" applyFont="1" applyFill="1" applyBorder="1" applyAlignment="1" applyProtection="1">
      <alignment horizontal="center" vertical="center" wrapText="1"/>
    </xf>
    <xf numFmtId="0" fontId="22" fillId="6" borderId="23" xfId="0" applyFont="1" applyFill="1" applyBorder="1" applyAlignment="1" applyProtection="1">
      <alignment horizontal="left" vertical="center" wrapText="1"/>
    </xf>
    <xf numFmtId="0" fontId="22" fillId="6" borderId="48" xfId="0" applyFont="1" applyFill="1" applyBorder="1" applyAlignment="1" applyProtection="1">
      <alignment horizontal="left" vertical="center" wrapText="1"/>
    </xf>
    <xf numFmtId="0" fontId="22" fillId="6" borderId="15" xfId="0" applyFont="1" applyFill="1" applyBorder="1" applyAlignment="1" applyProtection="1">
      <alignment horizontal="left" vertical="center" wrapText="1"/>
    </xf>
    <xf numFmtId="0" fontId="15" fillId="6" borderId="23" xfId="0" applyFont="1" applyFill="1" applyBorder="1" applyAlignment="1" applyProtection="1">
      <alignment horizontal="left" vertical="top" wrapText="1"/>
    </xf>
    <xf numFmtId="0" fontId="15" fillId="6" borderId="48" xfId="0" applyFont="1" applyFill="1" applyBorder="1" applyAlignment="1" applyProtection="1">
      <alignment horizontal="left" vertical="top" wrapText="1"/>
    </xf>
    <xf numFmtId="0" fontId="15" fillId="6" borderId="15"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shrinkToFit="1"/>
    </xf>
    <xf numFmtId="0" fontId="4" fillId="11" borderId="1" xfId="0" applyFont="1" applyFill="1" applyBorder="1" applyAlignment="1" applyProtection="1">
      <alignment horizontal="left" vertical="top"/>
    </xf>
    <xf numFmtId="0" fontId="4" fillId="2" borderId="1" xfId="0" applyFont="1" applyFill="1" applyBorder="1" applyAlignment="1" applyProtection="1">
      <alignment horizontal="left" vertical="top" wrapText="1"/>
    </xf>
    <xf numFmtId="0" fontId="15" fillId="5" borderId="1" xfId="0" applyFont="1" applyFill="1" applyBorder="1" applyAlignment="1" applyProtection="1">
      <alignment horizontal="left" vertical="top" wrapText="1"/>
    </xf>
    <xf numFmtId="0" fontId="4" fillId="0" borderId="23"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0" borderId="46" xfId="0" applyFont="1" applyFill="1" applyBorder="1" applyAlignment="1" applyProtection="1">
      <alignment horizontal="center" vertical="center" wrapText="1"/>
    </xf>
    <xf numFmtId="0" fontId="4" fillId="0" borderId="49"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51" xfId="0" applyFont="1" applyFill="1" applyBorder="1" applyAlignment="1" applyProtection="1">
      <alignment horizontal="left" vertical="top" wrapText="1"/>
    </xf>
    <xf numFmtId="0" fontId="4" fillId="0" borderId="2" xfId="0" applyFont="1" applyBorder="1" applyAlignment="1" applyProtection="1">
      <alignment horizontal="left" vertical="top" wrapText="1"/>
    </xf>
    <xf numFmtId="0" fontId="4" fillId="0" borderId="36" xfId="0" applyFont="1" applyBorder="1" applyAlignment="1" applyProtection="1">
      <alignment horizontal="left" vertical="top" wrapText="1"/>
    </xf>
    <xf numFmtId="0" fontId="4" fillId="0" borderId="22" xfId="0" applyFont="1" applyBorder="1" applyAlignment="1" applyProtection="1">
      <alignment horizontal="left" vertical="top" wrapText="1"/>
    </xf>
    <xf numFmtId="0" fontId="4" fillId="0" borderId="50" xfId="0" applyFont="1" applyFill="1" applyBorder="1" applyAlignment="1" applyProtection="1">
      <alignment horizontal="center" vertical="center" wrapText="1"/>
    </xf>
    <xf numFmtId="0" fontId="4" fillId="0" borderId="66"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5" fillId="0" borderId="5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2" xfId="0" applyFont="1" applyFill="1" applyBorder="1" applyAlignment="1">
      <alignment horizontal="center" vertical="center" wrapText="1"/>
    </xf>
    <xf numFmtId="164" fontId="5" fillId="0" borderId="53" xfId="0" applyNumberFormat="1" applyFont="1" applyFill="1" applyBorder="1" applyAlignment="1">
      <alignment horizontal="center" vertical="center" wrapText="1"/>
    </xf>
    <xf numFmtId="164" fontId="5" fillId="0" borderId="54" xfId="0" applyNumberFormat="1" applyFont="1" applyFill="1" applyBorder="1" applyAlignment="1">
      <alignment horizontal="center" vertical="center" wrapText="1"/>
    </xf>
    <xf numFmtId="164" fontId="5" fillId="0" borderId="55" xfId="0" applyNumberFormat="1"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3" xfId="0" applyNumberFormat="1" applyFont="1" applyBorder="1" applyAlignment="1">
      <alignment horizontal="center" vertical="center" wrapText="1"/>
    </xf>
    <xf numFmtId="9" fontId="4" fillId="0" borderId="48" xfId="0" applyNumberFormat="1" applyFont="1" applyBorder="1" applyAlignment="1">
      <alignment horizontal="center" vertical="center" wrapText="1"/>
    </xf>
    <xf numFmtId="9" fontId="4" fillId="0" borderId="15" xfId="0" applyNumberFormat="1" applyFont="1" applyBorder="1" applyAlignment="1">
      <alignment horizontal="center" vertical="center" wrapText="1"/>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xf>
    <xf numFmtId="0" fontId="4" fillId="0" borderId="36" xfId="0" applyFont="1" applyBorder="1" applyAlignment="1">
      <alignment horizontal="left" vertical="top"/>
    </xf>
    <xf numFmtId="0" fontId="4" fillId="0" borderId="22" xfId="0" applyFont="1" applyBorder="1" applyAlignment="1">
      <alignment horizontal="left" vertical="top"/>
    </xf>
    <xf numFmtId="0" fontId="4"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5" xfId="0" applyFont="1" applyBorder="1" applyAlignment="1">
      <alignment horizontal="center" vertical="center" wrapText="1"/>
    </xf>
  </cellXfs>
  <cellStyles count="4">
    <cellStyle name="Currency" xfId="1" builtinId="4"/>
    <cellStyle name="Hyperlink" xfId="2" builtinId="8"/>
    <cellStyle name="Normal" xfId="0" builtinId="0"/>
    <cellStyle name="Percent" xfId="3" builtinId="5"/>
  </cellStyles>
  <dxfs count="132">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bgColor rgb="FFFFFF00"/>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ill>
        <patternFill patternType="none">
          <bgColor indexed="65"/>
        </patternFill>
      </fill>
    </dxf>
    <dxf>
      <fill>
        <patternFill patternType="none">
          <bgColor indexed="65"/>
        </patternFill>
      </fill>
    </dxf>
    <dxf>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
      <font>
        <strike/>
        <color theme="0"/>
        <name val="Cambria"/>
        <scheme val="none"/>
      </font>
      <fill>
        <patternFill patternType="none">
          <fgColor indexed="64"/>
          <bgColor indexed="65"/>
        </patternFill>
      </fill>
    </dxf>
  </dxfs>
  <tableStyles count="0" defaultTableStyle="TableStyleMedium9" defaultPivotStyle="PivotStyleLight16"/>
  <colors>
    <mruColors>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UPS Load Factor</a:t>
            </a:r>
          </a:p>
        </c:rich>
      </c:tx>
      <c:layout>
        <c:manualLayout>
          <c:xMode val="edge"/>
          <c:yMode val="edge"/>
          <c:x val="0.38919277412420827"/>
          <c:y val="3.061226859916847E-2"/>
        </c:manualLayout>
      </c:layout>
      <c:overlay val="0"/>
      <c:spPr>
        <a:noFill/>
        <a:ln w="25400">
          <a:noFill/>
        </a:ln>
      </c:spPr>
    </c:title>
    <c:autoTitleDeleted val="0"/>
    <c:plotArea>
      <c:layout>
        <c:manualLayout>
          <c:layoutTarget val="inner"/>
          <c:xMode val="edge"/>
          <c:yMode val="edge"/>
          <c:x val="9.5317598408813126E-2"/>
          <c:y val="0.13265319341238183"/>
          <c:w val="0.88687185637375854"/>
          <c:h val="0.59022391006433927"/>
        </c:manualLayout>
      </c:layout>
      <c:barChart>
        <c:barDir val="col"/>
        <c:grouping val="clustered"/>
        <c:varyColors val="0"/>
        <c:ser>
          <c:idx val="0"/>
          <c:order val="0"/>
          <c:tx>
            <c:v>UPS Load factor</c:v>
          </c:tx>
          <c:spPr>
            <a:solidFill>
              <a:srgbClr val="9999FF"/>
            </a:solidFill>
            <a:ln w="12700">
              <a:solidFill>
                <a:srgbClr val="000000"/>
              </a:solidFill>
              <a:prstDash val="solid"/>
            </a:ln>
          </c:spPr>
          <c:invertIfNegative val="0"/>
          <c:dPt>
            <c:idx val="25"/>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1-9DD9-4618-9555-F32956985841}"/>
              </c:ext>
            </c:extLst>
          </c:dPt>
          <c:dPt>
            <c:idx val="26"/>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3-1FCB-4E54-B80B-A4E78A2CA4D6}"/>
              </c:ext>
            </c:extLst>
          </c:dPt>
          <c:cat>
            <c:strRef>
              <c:f>DC_BM_data!$A$11:$A$37</c:f>
              <c:strCache>
                <c:ptCount val="27"/>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Your Data Center</c:v>
                </c:pt>
                <c:pt idx="26">
                  <c:v>Your Data Center, After</c:v>
                </c:pt>
              </c:strCache>
            </c:strRef>
          </c:cat>
          <c:val>
            <c:numRef>
              <c:f>DC_BM_data!$K$11:$K$37</c:f>
              <c:numCache>
                <c:formatCode>0.00</c:formatCode>
                <c:ptCount val="27"/>
                <c:pt idx="0">
                  <c:v>0</c:v>
                </c:pt>
                <c:pt idx="1">
                  <c:v>0</c:v>
                </c:pt>
                <c:pt idx="2">
                  <c:v>0</c:v>
                </c:pt>
                <c:pt idx="3">
                  <c:v>0</c:v>
                </c:pt>
                <c:pt idx="4">
                  <c:v>0</c:v>
                </c:pt>
                <c:pt idx="5">
                  <c:v>0</c:v>
                </c:pt>
                <c:pt idx="6">
                  <c:v>0</c:v>
                </c:pt>
                <c:pt idx="7">
                  <c:v>0</c:v>
                </c:pt>
                <c:pt idx="8">
                  <c:v>0.4</c:v>
                </c:pt>
                <c:pt idx="9">
                  <c:v>0</c:v>
                </c:pt>
                <c:pt idx="10">
                  <c:v>0.34</c:v>
                </c:pt>
                <c:pt idx="11">
                  <c:v>0</c:v>
                </c:pt>
                <c:pt idx="12">
                  <c:v>0.42</c:v>
                </c:pt>
                <c:pt idx="13">
                  <c:v>0.42</c:v>
                </c:pt>
                <c:pt idx="14">
                  <c:v>0</c:v>
                </c:pt>
                <c:pt idx="15">
                  <c:v>0.33</c:v>
                </c:pt>
                <c:pt idx="16">
                  <c:v>0.33</c:v>
                </c:pt>
                <c:pt idx="17">
                  <c:v>0.83</c:v>
                </c:pt>
                <c:pt idx="18">
                  <c:v>0.83</c:v>
                </c:pt>
                <c:pt idx="19">
                  <c:v>0</c:v>
                </c:pt>
                <c:pt idx="20">
                  <c:v>0</c:v>
                </c:pt>
                <c:pt idx="21">
                  <c:v>0.94</c:v>
                </c:pt>
                <c:pt idx="22">
                  <c:v>0</c:v>
                </c:pt>
                <c:pt idx="23">
                  <c:v>0</c:v>
                </c:pt>
                <c:pt idx="24">
                  <c:v>0.63</c:v>
                </c:pt>
                <c:pt idx="25">
                  <c:v>0.66666666666666663</c:v>
                </c:pt>
                <c:pt idx="26">
                  <c:v>0.8</c:v>
                </c:pt>
              </c:numCache>
            </c:numRef>
          </c:val>
          <c:extLst>
            <c:ext xmlns:c16="http://schemas.microsoft.com/office/drawing/2014/chart" uri="{C3380CC4-5D6E-409C-BE32-E72D297353CC}">
              <c16:uniqueId val="{00000002-9DD9-4618-9555-F32956985841}"/>
            </c:ext>
          </c:extLst>
        </c:ser>
        <c:dLbls>
          <c:showLegendKey val="0"/>
          <c:showVal val="0"/>
          <c:showCatName val="0"/>
          <c:showSerName val="0"/>
          <c:showPercent val="0"/>
          <c:showBubbleSize val="0"/>
        </c:dLbls>
        <c:gapWidth val="150"/>
        <c:axId val="49105152"/>
        <c:axId val="49111424"/>
      </c:barChart>
      <c:catAx>
        <c:axId val="49105152"/>
        <c:scaling>
          <c:orientation val="minMax"/>
        </c:scaling>
        <c:delete val="0"/>
        <c:axPos val="b"/>
        <c:title>
          <c:tx>
            <c:rich>
              <a:bodyPr/>
              <a:lstStyle/>
              <a:p>
                <a:pPr>
                  <a:defRPr sz="1200"/>
                </a:pPr>
                <a:r>
                  <a:rPr lang="en-US" sz="1200"/>
                  <a:t>Data Center Number</a:t>
                </a:r>
              </a:p>
            </c:rich>
          </c:tx>
          <c:layout>
            <c:manualLayout>
              <c:xMode val="edge"/>
              <c:yMode val="edge"/>
              <c:x val="0.4084629121734315"/>
              <c:y val="0.85294636842961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100"/>
            </a:pPr>
            <a:endParaRPr lang="en-US"/>
          </a:p>
        </c:txPr>
        <c:crossAx val="49111424"/>
        <c:crosses val="autoZero"/>
        <c:auto val="1"/>
        <c:lblAlgn val="ctr"/>
        <c:lblOffset val="100"/>
        <c:tickLblSkip val="1"/>
        <c:tickMarkSkip val="1"/>
        <c:noMultiLvlLbl val="0"/>
      </c:catAx>
      <c:valAx>
        <c:axId val="49111424"/>
        <c:scaling>
          <c:orientation val="minMax"/>
        </c:scaling>
        <c:delete val="0"/>
        <c:axPos val="l"/>
        <c:majorGridlines>
          <c:spPr>
            <a:ln w="3175">
              <a:solidFill>
                <a:srgbClr val="000000"/>
              </a:solidFill>
              <a:prstDash val="sysDash"/>
            </a:ln>
          </c:spPr>
        </c:majorGridlines>
        <c:title>
          <c:tx>
            <c:rich>
              <a:bodyPr/>
              <a:lstStyle/>
              <a:p>
                <a:pPr>
                  <a:defRPr sz="1200"/>
                </a:pPr>
                <a:r>
                  <a:rPr lang="en-US" sz="1200"/>
                  <a:t>UPS Load Factor</a:t>
                </a:r>
              </a:p>
            </c:rich>
          </c:tx>
          <c:layout>
            <c:manualLayout>
              <c:xMode val="edge"/>
              <c:yMode val="edge"/>
              <c:x val="1.8691596134752814E-2"/>
              <c:y val="0.15859405848605207"/>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4910515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25400">
      <a:noFill/>
      <a:prstDash val="solid"/>
    </a:ln>
  </c:spPr>
  <c:txPr>
    <a:bodyPr/>
    <a:lstStyle/>
    <a:p>
      <a:pPr>
        <a:defRPr sz="1000" b="0" i="0" u="none" strike="noStrike" baseline="0">
          <a:solidFill>
            <a:srgbClr val="000000"/>
          </a:solidFill>
          <a:latin typeface="Arial Narrow" panose="020B0606020202030204" pitchFamily="34" charset="0"/>
          <a:ea typeface="Calibri"/>
          <a:cs typeface="Calibri"/>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931679790026247"/>
          <c:y val="3.0612157086921509E-2"/>
        </c:manualLayout>
      </c:layout>
      <c:overlay val="0"/>
      <c:spPr>
        <a:noFill/>
        <a:ln w="25400">
          <a:noFill/>
        </a:ln>
      </c:spPr>
      <c:txPr>
        <a:bodyPr/>
        <a:lstStyle/>
        <a:p>
          <a:pPr>
            <a:defRPr sz="1600"/>
          </a:pPr>
          <a:endParaRPr lang="en-US"/>
        </a:p>
      </c:txPr>
    </c:title>
    <c:autoTitleDeleted val="0"/>
    <c:plotArea>
      <c:layout>
        <c:manualLayout>
          <c:layoutTarget val="inner"/>
          <c:xMode val="edge"/>
          <c:yMode val="edge"/>
          <c:x val="0.10169120734908137"/>
          <c:y val="0.13265319341238183"/>
          <c:w val="0.88036141732283479"/>
          <c:h val="0.62857205493867085"/>
        </c:manualLayout>
      </c:layout>
      <c:barChart>
        <c:barDir val="col"/>
        <c:grouping val="clustered"/>
        <c:varyColors val="0"/>
        <c:ser>
          <c:idx val="0"/>
          <c:order val="0"/>
          <c:tx>
            <c:v>IT Power Density</c:v>
          </c:tx>
          <c:spPr>
            <a:solidFill>
              <a:srgbClr val="9999FF"/>
            </a:solidFill>
            <a:ln w="12700">
              <a:solidFill>
                <a:srgbClr val="000000"/>
              </a:solidFill>
              <a:prstDash val="solid"/>
            </a:ln>
          </c:spPr>
          <c:invertIfNegative val="0"/>
          <c:dPt>
            <c:idx val="25"/>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1-FCD7-481A-A809-DBDB06505545}"/>
              </c:ext>
            </c:extLst>
          </c:dPt>
          <c:cat>
            <c:strRef>
              <c:f>DC_BM_data!$A$11:$A$36</c:f>
              <c:strCache>
                <c:ptCount val="2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Your Data Center</c:v>
                </c:pt>
              </c:strCache>
            </c:strRef>
          </c:cat>
          <c:val>
            <c:numRef>
              <c:f>DC_BM_data!$S$11:$S$36</c:f>
              <c:numCache>
                <c:formatCode>0.00</c:formatCode>
                <c:ptCount val="26"/>
                <c:pt idx="0">
                  <c:v>23.86</c:v>
                </c:pt>
                <c:pt idx="1">
                  <c:v>33.770000000000003</c:v>
                </c:pt>
                <c:pt idx="2">
                  <c:v>41.6</c:v>
                </c:pt>
                <c:pt idx="3">
                  <c:v>4.12</c:v>
                </c:pt>
                <c:pt idx="4">
                  <c:v>4.9800000000000004</c:v>
                </c:pt>
                <c:pt idx="5">
                  <c:v>35.31</c:v>
                </c:pt>
                <c:pt idx="6">
                  <c:v>64.540000000000006</c:v>
                </c:pt>
                <c:pt idx="7">
                  <c:v>47.64</c:v>
                </c:pt>
                <c:pt idx="8">
                  <c:v>19.190000000000001</c:v>
                </c:pt>
                <c:pt idx="9">
                  <c:v>8.4700000000000006</c:v>
                </c:pt>
                <c:pt idx="10">
                  <c:v>14.51</c:v>
                </c:pt>
                <c:pt idx="11">
                  <c:v>23.31</c:v>
                </c:pt>
                <c:pt idx="12">
                  <c:v>29</c:v>
                </c:pt>
                <c:pt idx="13">
                  <c:v>29.16</c:v>
                </c:pt>
                <c:pt idx="14">
                  <c:v>15.71</c:v>
                </c:pt>
                <c:pt idx="15">
                  <c:v>37.700000000000003</c:v>
                </c:pt>
                <c:pt idx="16">
                  <c:v>16.5</c:v>
                </c:pt>
                <c:pt idx="17">
                  <c:v>19.93</c:v>
                </c:pt>
                <c:pt idx="18">
                  <c:v>56.03</c:v>
                </c:pt>
                <c:pt idx="19">
                  <c:v>61.18</c:v>
                </c:pt>
                <c:pt idx="20">
                  <c:v>62.94</c:v>
                </c:pt>
                <c:pt idx="21">
                  <c:v>56.5</c:v>
                </c:pt>
                <c:pt idx="22">
                  <c:v>89</c:v>
                </c:pt>
                <c:pt idx="23">
                  <c:v>137</c:v>
                </c:pt>
                <c:pt idx="24">
                  <c:v>0</c:v>
                </c:pt>
                <c:pt idx="25">
                  <c:v>50</c:v>
                </c:pt>
              </c:numCache>
            </c:numRef>
          </c:val>
          <c:extLst>
            <c:ext xmlns:c16="http://schemas.microsoft.com/office/drawing/2014/chart" uri="{C3380CC4-5D6E-409C-BE32-E72D297353CC}">
              <c16:uniqueId val="{00000002-FCD7-481A-A809-DBDB06505545}"/>
            </c:ext>
          </c:extLst>
        </c:ser>
        <c:dLbls>
          <c:showLegendKey val="0"/>
          <c:showVal val="0"/>
          <c:showCatName val="0"/>
          <c:showSerName val="0"/>
          <c:showPercent val="0"/>
          <c:showBubbleSize val="0"/>
        </c:dLbls>
        <c:gapWidth val="150"/>
        <c:axId val="49140864"/>
        <c:axId val="49142784"/>
      </c:barChart>
      <c:catAx>
        <c:axId val="49140864"/>
        <c:scaling>
          <c:orientation val="minMax"/>
        </c:scaling>
        <c:delete val="0"/>
        <c:axPos val="b"/>
        <c:title>
          <c:tx>
            <c:rich>
              <a:bodyPr/>
              <a:lstStyle/>
              <a:p>
                <a:pPr>
                  <a:defRPr sz="1200"/>
                </a:pPr>
                <a:r>
                  <a:rPr lang="en-US" sz="1200"/>
                  <a:t>Data Center Number</a:t>
                </a:r>
              </a:p>
            </c:rich>
          </c:tx>
          <c:layout>
            <c:manualLayout>
              <c:xMode val="edge"/>
              <c:yMode val="edge"/>
              <c:x val="0.41217992125984254"/>
              <c:y val="0.854712669113082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1100"/>
            </a:pPr>
            <a:endParaRPr lang="en-US"/>
          </a:p>
        </c:txPr>
        <c:crossAx val="49142784"/>
        <c:crosses val="autoZero"/>
        <c:auto val="1"/>
        <c:lblAlgn val="ctr"/>
        <c:lblOffset val="100"/>
        <c:tickLblSkip val="1"/>
        <c:tickMarkSkip val="1"/>
        <c:noMultiLvlLbl val="0"/>
      </c:catAx>
      <c:valAx>
        <c:axId val="49142784"/>
        <c:scaling>
          <c:orientation val="minMax"/>
        </c:scaling>
        <c:delete val="0"/>
        <c:axPos val="l"/>
        <c:majorGridlines>
          <c:spPr>
            <a:ln w="3175">
              <a:solidFill>
                <a:srgbClr val="000000"/>
              </a:solidFill>
              <a:prstDash val="sysDash"/>
            </a:ln>
          </c:spPr>
        </c:majorGridlines>
        <c:title>
          <c:tx>
            <c:rich>
              <a:bodyPr/>
              <a:lstStyle/>
              <a:p>
                <a:pPr>
                  <a:defRPr sz="1200"/>
                </a:pPr>
                <a:r>
                  <a:rPr lang="en-US" sz="1200"/>
                  <a:t>Average IT Power Density (W/sf)</a:t>
                </a:r>
              </a:p>
            </c:rich>
          </c:tx>
          <c:layout>
            <c:manualLayout>
              <c:xMode val="edge"/>
              <c:yMode val="edge"/>
              <c:x val="1.8846062992125979E-2"/>
              <c:y val="0.135586248440256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49140864"/>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25400">
      <a:noFill/>
      <a:prstDash val="solid"/>
    </a:ln>
  </c:spPr>
  <c:txPr>
    <a:bodyPr/>
    <a:lstStyle/>
    <a:p>
      <a:pPr>
        <a:defRPr sz="1000" b="0" i="0" u="none" strike="noStrike" baseline="0">
          <a:solidFill>
            <a:srgbClr val="000000"/>
          </a:solidFill>
          <a:latin typeface="Arial Narrow" panose="020B0606020202030204" pitchFamily="34" charset="0"/>
          <a:ea typeface="Calibri"/>
          <a:cs typeface="Calibri"/>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085071108457"/>
          <c:y val="4.7151504585912003E-2"/>
          <c:w val="0.84147548755154022"/>
          <c:h val="0.81187436441293559"/>
        </c:manualLayout>
      </c:layout>
      <c:scatterChart>
        <c:scatterStyle val="smoothMarker"/>
        <c:varyColors val="0"/>
        <c:ser>
          <c:idx val="0"/>
          <c:order val="0"/>
          <c:tx>
            <c:v>Series1</c:v>
          </c:tx>
          <c:spPr>
            <a:ln w="25400">
              <a:solidFill>
                <a:srgbClr val="000080"/>
              </a:solidFill>
              <a:prstDash val="solid"/>
            </a:ln>
          </c:spPr>
          <c:marker>
            <c:symbol val="none"/>
          </c:marker>
          <c:xVal>
            <c:numRef>
              <c:f>'UPS Efficiency'!$C$5:$L$5</c:f>
              <c:numCache>
                <c:formatCode>0%</c:formatCode>
                <c:ptCount val="10"/>
                <c:pt idx="0">
                  <c:v>0.1</c:v>
                </c:pt>
                <c:pt idx="1">
                  <c:v>0.2</c:v>
                </c:pt>
                <c:pt idx="2">
                  <c:v>0.3</c:v>
                </c:pt>
                <c:pt idx="3">
                  <c:v>0.4</c:v>
                </c:pt>
                <c:pt idx="4">
                  <c:v>0.5</c:v>
                </c:pt>
                <c:pt idx="5">
                  <c:v>0.6</c:v>
                </c:pt>
                <c:pt idx="6">
                  <c:v>0.7</c:v>
                </c:pt>
                <c:pt idx="7">
                  <c:v>0.8</c:v>
                </c:pt>
                <c:pt idx="8">
                  <c:v>0.9</c:v>
                </c:pt>
                <c:pt idx="9">
                  <c:v>1</c:v>
                </c:pt>
              </c:numCache>
            </c:numRef>
          </c:xVal>
          <c:yVal>
            <c:numRef>
              <c:f>'UPS Efficiency'!$C$6:$L$6</c:f>
              <c:numCache>
                <c:formatCode>0.0%</c:formatCode>
                <c:ptCount val="10"/>
                <c:pt idx="0">
                  <c:v>0.89833333333333343</c:v>
                </c:pt>
                <c:pt idx="1">
                  <c:v>0.94233333333333336</c:v>
                </c:pt>
                <c:pt idx="2">
                  <c:v>0.95616666666666672</c:v>
                </c:pt>
                <c:pt idx="3">
                  <c:v>0.96113333333333328</c:v>
                </c:pt>
                <c:pt idx="4">
                  <c:v>0.96333333333333337</c:v>
                </c:pt>
                <c:pt idx="5">
                  <c:v>0.96436666666666671</c:v>
                </c:pt>
                <c:pt idx="6">
                  <c:v>0.96496666666666675</c:v>
                </c:pt>
                <c:pt idx="7">
                  <c:v>0.96490000000000009</c:v>
                </c:pt>
                <c:pt idx="8">
                  <c:v>0.96473333333333322</c:v>
                </c:pt>
                <c:pt idx="9">
                  <c:v>0.96466666666666667</c:v>
                </c:pt>
              </c:numCache>
            </c:numRef>
          </c:yVal>
          <c:smooth val="1"/>
          <c:extLst>
            <c:ext xmlns:c16="http://schemas.microsoft.com/office/drawing/2014/chart" uri="{C3380CC4-5D6E-409C-BE32-E72D297353CC}">
              <c16:uniqueId val="{00000000-3C7C-4ED6-8DDD-14B0D2D0BA47}"/>
            </c:ext>
          </c:extLst>
        </c:ser>
        <c:dLbls>
          <c:showLegendKey val="0"/>
          <c:showVal val="0"/>
          <c:showCatName val="0"/>
          <c:showSerName val="0"/>
          <c:showPercent val="0"/>
          <c:showBubbleSize val="0"/>
        </c:dLbls>
        <c:axId val="49287552"/>
        <c:axId val="49289472"/>
      </c:scatterChart>
      <c:valAx>
        <c:axId val="49287552"/>
        <c:scaling>
          <c:orientation val="minMax"/>
          <c:max val="1"/>
        </c:scaling>
        <c:delete val="0"/>
        <c:axPos val="b"/>
        <c:majorGridlines>
          <c:spPr>
            <a:ln w="3175">
              <a:solidFill>
                <a:srgbClr val="000000"/>
              </a:solidFill>
              <a:prstDash val="sysDash"/>
            </a:ln>
          </c:spPr>
        </c:majorGridlines>
        <c:title>
          <c:tx>
            <c:rich>
              <a:bodyPr/>
              <a:lstStyle/>
              <a:p>
                <a:pPr>
                  <a:defRPr sz="1400">
                    <a:latin typeface="Arial Narrow" panose="020B0606020202030204" pitchFamily="34" charset="0"/>
                  </a:defRPr>
                </a:pPr>
                <a:r>
                  <a:rPr lang="en-US" sz="1400">
                    <a:latin typeface="Arial Narrow" panose="020B0606020202030204" pitchFamily="34" charset="0"/>
                  </a:rPr>
                  <a:t>Load Factor</a:t>
                </a:r>
              </a:p>
            </c:rich>
          </c:tx>
          <c:layout>
            <c:manualLayout>
              <c:xMode val="edge"/>
              <c:yMode val="edge"/>
              <c:x val="0.483769545988882"/>
              <c:y val="0.93491336645649925"/>
            </c:manualLayout>
          </c:layout>
          <c:overlay val="0"/>
        </c:title>
        <c:numFmt formatCode="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Narrow"/>
                <a:ea typeface="Arial Narrow"/>
                <a:cs typeface="Arial Narrow"/>
              </a:defRPr>
            </a:pPr>
            <a:endParaRPr lang="en-US"/>
          </a:p>
        </c:txPr>
        <c:crossAx val="49289472"/>
        <c:crosses val="autoZero"/>
        <c:crossBetween val="midCat"/>
        <c:majorUnit val="0.1"/>
      </c:valAx>
      <c:valAx>
        <c:axId val="49289472"/>
        <c:scaling>
          <c:orientation val="minMax"/>
          <c:max val="0.98"/>
          <c:min val="0.88000000000000012"/>
        </c:scaling>
        <c:delete val="0"/>
        <c:axPos val="l"/>
        <c:majorGridlines>
          <c:spPr>
            <a:ln w="3175">
              <a:solidFill>
                <a:srgbClr val="969696"/>
              </a:solidFill>
              <a:prstDash val="sysDash"/>
            </a:ln>
          </c:spPr>
        </c:majorGridlines>
        <c:title>
          <c:tx>
            <c:rich>
              <a:bodyPr rot="-5400000" vert="horz"/>
              <a:lstStyle/>
              <a:p>
                <a:pPr>
                  <a:defRPr sz="1400">
                    <a:latin typeface="Arial Narrow" panose="020B0606020202030204" pitchFamily="34" charset="0"/>
                  </a:defRPr>
                </a:pPr>
                <a:r>
                  <a:rPr lang="en-US" sz="1400">
                    <a:latin typeface="Arial Narrow" panose="020B0606020202030204" pitchFamily="34" charset="0"/>
                  </a:rPr>
                  <a:t>Efficiency</a:t>
                </a:r>
              </a:p>
            </c:rich>
          </c:tx>
          <c:layout>
            <c:manualLayout>
              <c:xMode val="edge"/>
              <c:yMode val="edge"/>
              <c:x val="1.4877951252656993E-2"/>
              <c:y val="0.26511200860040096"/>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Narrow" panose="020B0606020202030204" pitchFamily="34" charset="0"/>
                <a:ea typeface="Arial"/>
                <a:cs typeface="Arial"/>
              </a:defRPr>
            </a:pPr>
            <a:endParaRPr lang="en-US"/>
          </a:p>
        </c:txPr>
        <c:crossAx val="49287552"/>
        <c:crosses val="autoZero"/>
        <c:crossBetween val="midCat"/>
        <c:majorUnit val="0.02"/>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8438656706373"/>
          <c:y val="7.1609921826287948E-2"/>
          <c:w val="0.82863920856046835"/>
          <c:h val="0.82374657190959311"/>
        </c:manualLayout>
      </c:layout>
      <c:scatterChart>
        <c:scatterStyle val="smoothMarker"/>
        <c:varyColors val="0"/>
        <c:ser>
          <c:idx val="0"/>
          <c:order val="0"/>
          <c:tx>
            <c:strRef>
              <c:f>UPS_data!$A$16</c:f>
              <c:strCache>
                <c:ptCount val="1"/>
                <c:pt idx="0">
                  <c:v>Galaxy VX</c:v>
                </c:pt>
              </c:strCache>
            </c:strRef>
          </c:tx>
          <c:dPt>
            <c:idx val="2"/>
            <c:bubble3D val="0"/>
            <c:extLst>
              <c:ext xmlns:c16="http://schemas.microsoft.com/office/drawing/2014/chart" uri="{C3380CC4-5D6E-409C-BE32-E72D297353CC}">
                <c16:uniqueId val="{00000000-01E9-4AF7-825E-F1CDE3393586}"/>
              </c:ext>
            </c:extLst>
          </c:dPt>
          <c:dPt>
            <c:idx val="3"/>
            <c:marker>
              <c:symbol val="diamond"/>
              <c:size val="11"/>
              <c:spPr>
                <a:solidFill>
                  <a:srgbClr val="00B0F0"/>
                </a:solidFill>
              </c:spPr>
            </c:marker>
            <c:bubble3D val="0"/>
            <c:extLst>
              <c:ext xmlns:c16="http://schemas.microsoft.com/office/drawing/2014/chart" uri="{C3380CC4-5D6E-409C-BE32-E72D297353CC}">
                <c16:uniqueId val="{00000001-01E9-4AF7-825E-F1CDE3393586}"/>
              </c:ext>
            </c:extLst>
          </c:dPt>
          <c:dPt>
            <c:idx val="5"/>
            <c:bubble3D val="0"/>
            <c:extLst>
              <c:ext xmlns:c16="http://schemas.microsoft.com/office/drawing/2014/chart" uri="{C3380CC4-5D6E-409C-BE32-E72D297353CC}">
                <c16:uniqueId val="{00000002-01E9-4AF7-825E-F1CDE3393586}"/>
              </c:ext>
            </c:extLst>
          </c:dPt>
          <c:dPt>
            <c:idx val="6"/>
            <c:marker>
              <c:symbol val="diamond"/>
              <c:size val="11"/>
              <c:spPr>
                <a:solidFill>
                  <a:srgbClr val="00B0F0"/>
                </a:solidFill>
              </c:spPr>
            </c:marker>
            <c:bubble3D val="0"/>
            <c:extLst>
              <c:ext xmlns:c16="http://schemas.microsoft.com/office/drawing/2014/chart" uri="{C3380CC4-5D6E-409C-BE32-E72D297353CC}">
                <c16:uniqueId val="{00000003-01E9-4AF7-825E-F1CDE3393586}"/>
              </c:ext>
            </c:extLst>
          </c:dPt>
          <c:dPt>
            <c:idx val="8"/>
            <c:bubble3D val="0"/>
            <c:extLst>
              <c:ext xmlns:c16="http://schemas.microsoft.com/office/drawing/2014/chart" uri="{C3380CC4-5D6E-409C-BE32-E72D297353CC}">
                <c16:uniqueId val="{00000004-01E9-4AF7-825E-F1CDE3393586}"/>
              </c:ext>
            </c:extLst>
          </c:dPt>
          <c:dPt>
            <c:idx val="9"/>
            <c:marker>
              <c:symbol val="diamond"/>
              <c:size val="11"/>
              <c:spPr>
                <a:solidFill>
                  <a:srgbClr val="00B0F0"/>
                </a:solidFill>
              </c:spPr>
            </c:marker>
            <c:bubble3D val="0"/>
            <c:extLst>
              <c:ext xmlns:c16="http://schemas.microsoft.com/office/drawing/2014/chart" uri="{C3380CC4-5D6E-409C-BE32-E72D297353CC}">
                <c16:uniqueId val="{00000005-01E9-4AF7-825E-F1CDE3393586}"/>
              </c:ext>
            </c:extLst>
          </c:dPt>
          <c:dPt>
            <c:idx val="11"/>
            <c:bubble3D val="0"/>
            <c:extLst>
              <c:ext xmlns:c16="http://schemas.microsoft.com/office/drawing/2014/chart" uri="{C3380CC4-5D6E-409C-BE32-E72D297353CC}">
                <c16:uniqueId val="{00000006-01E9-4AF7-825E-F1CDE3393586}"/>
              </c:ext>
            </c:extLst>
          </c:dPt>
          <c:dPt>
            <c:idx val="12"/>
            <c:marker>
              <c:symbol val="diamond"/>
              <c:size val="11"/>
              <c:spPr>
                <a:solidFill>
                  <a:srgbClr val="00B0F0"/>
                </a:solidFill>
              </c:spPr>
            </c:marker>
            <c:bubble3D val="0"/>
            <c:extLst>
              <c:ext xmlns:c16="http://schemas.microsoft.com/office/drawing/2014/chart" uri="{C3380CC4-5D6E-409C-BE32-E72D297353CC}">
                <c16:uniqueId val="{00000007-01E9-4AF7-825E-F1CDE3393586}"/>
              </c:ext>
            </c:extLst>
          </c:dPt>
          <c:xVal>
            <c:numRef>
              <c:f>UPS_data!$D$15:$P$15</c:f>
              <c:numCache>
                <c:formatCode>0%</c:formatCode>
                <c:ptCount val="13"/>
                <c:pt idx="0">
                  <c:v>0</c:v>
                </c:pt>
                <c:pt idx="1">
                  <c:v>0.1</c:v>
                </c:pt>
                <c:pt idx="2">
                  <c:v>0.2</c:v>
                </c:pt>
                <c:pt idx="3">
                  <c:v>0.25</c:v>
                </c:pt>
                <c:pt idx="4">
                  <c:v>0.3</c:v>
                </c:pt>
                <c:pt idx="5">
                  <c:v>0.4</c:v>
                </c:pt>
                <c:pt idx="6">
                  <c:v>0.5</c:v>
                </c:pt>
                <c:pt idx="7">
                  <c:v>0.6</c:v>
                </c:pt>
                <c:pt idx="8">
                  <c:v>0.7</c:v>
                </c:pt>
                <c:pt idx="9">
                  <c:v>0.75</c:v>
                </c:pt>
                <c:pt idx="10">
                  <c:v>0.8</c:v>
                </c:pt>
                <c:pt idx="11">
                  <c:v>0.9</c:v>
                </c:pt>
                <c:pt idx="12">
                  <c:v>1</c:v>
                </c:pt>
              </c:numCache>
            </c:numRef>
          </c:xVal>
          <c:yVal>
            <c:numRef>
              <c:f>UPS_data!$D$16:$P$16</c:f>
              <c:numCache>
                <c:formatCode>0.0%</c:formatCode>
                <c:ptCount val="13"/>
                <c:pt idx="0">
                  <c:v>0</c:v>
                </c:pt>
                <c:pt idx="1">
                  <c:v>0.9</c:v>
                </c:pt>
                <c:pt idx="2">
                  <c:v>0.95</c:v>
                </c:pt>
                <c:pt idx="3">
                  <c:v>0.95799999999999996</c:v>
                </c:pt>
                <c:pt idx="4">
                  <c:v>0.96050000000000002</c:v>
                </c:pt>
                <c:pt idx="5">
                  <c:v>0.96299999999999997</c:v>
                </c:pt>
                <c:pt idx="6">
                  <c:v>0.96399999999999997</c:v>
                </c:pt>
                <c:pt idx="7">
                  <c:v>0.96350000000000002</c:v>
                </c:pt>
                <c:pt idx="8">
                  <c:v>0.96250000000000002</c:v>
                </c:pt>
                <c:pt idx="9">
                  <c:v>0.96199999999999997</c:v>
                </c:pt>
                <c:pt idx="10">
                  <c:v>0.96150000000000002</c:v>
                </c:pt>
                <c:pt idx="11">
                  <c:v>0.96099999999999997</c:v>
                </c:pt>
                <c:pt idx="12">
                  <c:v>0.96099999999999997</c:v>
                </c:pt>
              </c:numCache>
            </c:numRef>
          </c:yVal>
          <c:smooth val="1"/>
          <c:extLst>
            <c:ext xmlns:c16="http://schemas.microsoft.com/office/drawing/2014/chart" uri="{C3380CC4-5D6E-409C-BE32-E72D297353CC}">
              <c16:uniqueId val="{00000008-01E9-4AF7-825E-F1CDE3393586}"/>
            </c:ext>
          </c:extLst>
        </c:ser>
        <c:ser>
          <c:idx val="1"/>
          <c:order val="1"/>
          <c:tx>
            <c:strRef>
              <c:f>UPS_data!$A$17</c:f>
              <c:strCache>
                <c:ptCount val="1"/>
                <c:pt idx="0">
                  <c:v>Symmetra PX</c:v>
                </c:pt>
              </c:strCache>
            </c:strRef>
          </c:tx>
          <c:dPt>
            <c:idx val="3"/>
            <c:marker>
              <c:symbol val="square"/>
              <c:size val="10"/>
              <c:spPr>
                <a:solidFill>
                  <a:srgbClr val="FF0000"/>
                </a:solidFill>
              </c:spPr>
            </c:marker>
            <c:bubble3D val="0"/>
            <c:extLst>
              <c:ext xmlns:c16="http://schemas.microsoft.com/office/drawing/2014/chart" uri="{C3380CC4-5D6E-409C-BE32-E72D297353CC}">
                <c16:uniqueId val="{00000009-01E9-4AF7-825E-F1CDE3393586}"/>
              </c:ext>
            </c:extLst>
          </c:dPt>
          <c:dPt>
            <c:idx val="6"/>
            <c:marker>
              <c:symbol val="square"/>
              <c:size val="10"/>
              <c:spPr>
                <a:solidFill>
                  <a:srgbClr val="FF0000"/>
                </a:solidFill>
              </c:spPr>
            </c:marker>
            <c:bubble3D val="0"/>
            <c:extLst>
              <c:ext xmlns:c16="http://schemas.microsoft.com/office/drawing/2014/chart" uri="{C3380CC4-5D6E-409C-BE32-E72D297353CC}">
                <c16:uniqueId val="{0000000A-01E9-4AF7-825E-F1CDE3393586}"/>
              </c:ext>
            </c:extLst>
          </c:dPt>
          <c:dPt>
            <c:idx val="9"/>
            <c:marker>
              <c:symbol val="square"/>
              <c:size val="10"/>
              <c:spPr>
                <a:solidFill>
                  <a:srgbClr val="FF0000"/>
                </a:solidFill>
              </c:spPr>
            </c:marker>
            <c:bubble3D val="0"/>
            <c:extLst>
              <c:ext xmlns:c16="http://schemas.microsoft.com/office/drawing/2014/chart" uri="{C3380CC4-5D6E-409C-BE32-E72D297353CC}">
                <c16:uniqueId val="{0000000B-01E9-4AF7-825E-F1CDE3393586}"/>
              </c:ext>
            </c:extLst>
          </c:dPt>
          <c:dPt>
            <c:idx val="12"/>
            <c:marker>
              <c:symbol val="square"/>
              <c:size val="10"/>
              <c:spPr>
                <a:solidFill>
                  <a:srgbClr val="FF0000"/>
                </a:solidFill>
              </c:spPr>
            </c:marker>
            <c:bubble3D val="0"/>
            <c:extLst>
              <c:ext xmlns:c16="http://schemas.microsoft.com/office/drawing/2014/chart" uri="{C3380CC4-5D6E-409C-BE32-E72D297353CC}">
                <c16:uniqueId val="{0000000C-01E9-4AF7-825E-F1CDE3393586}"/>
              </c:ext>
            </c:extLst>
          </c:dPt>
          <c:xVal>
            <c:numRef>
              <c:f>UPS_data!$D$15:$P$15</c:f>
              <c:numCache>
                <c:formatCode>0%</c:formatCode>
                <c:ptCount val="13"/>
                <c:pt idx="0">
                  <c:v>0</c:v>
                </c:pt>
                <c:pt idx="1">
                  <c:v>0.1</c:v>
                </c:pt>
                <c:pt idx="2">
                  <c:v>0.2</c:v>
                </c:pt>
                <c:pt idx="3">
                  <c:v>0.25</c:v>
                </c:pt>
                <c:pt idx="4">
                  <c:v>0.3</c:v>
                </c:pt>
                <c:pt idx="5">
                  <c:v>0.4</c:v>
                </c:pt>
                <c:pt idx="6">
                  <c:v>0.5</c:v>
                </c:pt>
                <c:pt idx="7">
                  <c:v>0.6</c:v>
                </c:pt>
                <c:pt idx="8">
                  <c:v>0.7</c:v>
                </c:pt>
                <c:pt idx="9">
                  <c:v>0.75</c:v>
                </c:pt>
                <c:pt idx="10">
                  <c:v>0.8</c:v>
                </c:pt>
                <c:pt idx="11">
                  <c:v>0.9</c:v>
                </c:pt>
                <c:pt idx="12">
                  <c:v>1</c:v>
                </c:pt>
              </c:numCache>
            </c:numRef>
          </c:xVal>
          <c:yVal>
            <c:numRef>
              <c:f>UPS_data!$D$17:$P$17</c:f>
              <c:numCache>
                <c:formatCode>0.0%</c:formatCode>
                <c:ptCount val="13"/>
                <c:pt idx="0">
                  <c:v>0</c:v>
                </c:pt>
                <c:pt idx="1">
                  <c:v>0.92500000000000004</c:v>
                </c:pt>
                <c:pt idx="2">
                  <c:v>0.95</c:v>
                </c:pt>
                <c:pt idx="3">
                  <c:v>0.95499999999999996</c:v>
                </c:pt>
                <c:pt idx="4">
                  <c:v>0.95799999999999996</c:v>
                </c:pt>
                <c:pt idx="5">
                  <c:v>0.96099999999999997</c:v>
                </c:pt>
                <c:pt idx="6">
                  <c:v>0.96299999999999997</c:v>
                </c:pt>
                <c:pt idx="7">
                  <c:v>0.9637</c:v>
                </c:pt>
                <c:pt idx="8">
                  <c:v>0.96409999999999996</c:v>
                </c:pt>
                <c:pt idx="9">
                  <c:v>0.96399999999999997</c:v>
                </c:pt>
                <c:pt idx="10">
                  <c:v>0.9637</c:v>
                </c:pt>
                <c:pt idx="11">
                  <c:v>0.96319999999999995</c:v>
                </c:pt>
                <c:pt idx="12">
                  <c:v>0.96299999999999997</c:v>
                </c:pt>
              </c:numCache>
            </c:numRef>
          </c:yVal>
          <c:smooth val="1"/>
          <c:extLst>
            <c:ext xmlns:c16="http://schemas.microsoft.com/office/drawing/2014/chart" uri="{C3380CC4-5D6E-409C-BE32-E72D297353CC}">
              <c16:uniqueId val="{0000000D-01E9-4AF7-825E-F1CDE3393586}"/>
            </c:ext>
          </c:extLst>
        </c:ser>
        <c:ser>
          <c:idx val="2"/>
          <c:order val="2"/>
          <c:tx>
            <c:strRef>
              <c:f>UPS_data!$A$18</c:f>
              <c:strCache>
                <c:ptCount val="1"/>
                <c:pt idx="0">
                  <c:v>Symmetra MW</c:v>
                </c:pt>
              </c:strCache>
            </c:strRef>
          </c:tx>
          <c:dPt>
            <c:idx val="2"/>
            <c:bubble3D val="0"/>
            <c:extLst>
              <c:ext xmlns:c16="http://schemas.microsoft.com/office/drawing/2014/chart" uri="{C3380CC4-5D6E-409C-BE32-E72D297353CC}">
                <c16:uniqueId val="{0000000E-01E9-4AF7-825E-F1CDE3393586}"/>
              </c:ext>
            </c:extLst>
          </c:dPt>
          <c:dPt>
            <c:idx val="3"/>
            <c:marker>
              <c:symbol val="triangle"/>
              <c:size val="10"/>
              <c:spPr>
                <a:solidFill>
                  <a:srgbClr val="00B050"/>
                </a:solidFill>
              </c:spPr>
            </c:marker>
            <c:bubble3D val="0"/>
            <c:extLst>
              <c:ext xmlns:c16="http://schemas.microsoft.com/office/drawing/2014/chart" uri="{C3380CC4-5D6E-409C-BE32-E72D297353CC}">
                <c16:uniqueId val="{0000000F-01E9-4AF7-825E-F1CDE3393586}"/>
              </c:ext>
            </c:extLst>
          </c:dPt>
          <c:dPt>
            <c:idx val="5"/>
            <c:bubble3D val="0"/>
            <c:extLst>
              <c:ext xmlns:c16="http://schemas.microsoft.com/office/drawing/2014/chart" uri="{C3380CC4-5D6E-409C-BE32-E72D297353CC}">
                <c16:uniqueId val="{00000010-01E9-4AF7-825E-F1CDE3393586}"/>
              </c:ext>
            </c:extLst>
          </c:dPt>
          <c:dPt>
            <c:idx val="6"/>
            <c:marker>
              <c:symbol val="triangle"/>
              <c:size val="10"/>
              <c:spPr>
                <a:solidFill>
                  <a:srgbClr val="00B050"/>
                </a:solidFill>
              </c:spPr>
            </c:marker>
            <c:bubble3D val="0"/>
            <c:extLst>
              <c:ext xmlns:c16="http://schemas.microsoft.com/office/drawing/2014/chart" uri="{C3380CC4-5D6E-409C-BE32-E72D297353CC}">
                <c16:uniqueId val="{00000011-01E9-4AF7-825E-F1CDE3393586}"/>
              </c:ext>
            </c:extLst>
          </c:dPt>
          <c:dPt>
            <c:idx val="8"/>
            <c:bubble3D val="0"/>
            <c:extLst>
              <c:ext xmlns:c16="http://schemas.microsoft.com/office/drawing/2014/chart" uri="{C3380CC4-5D6E-409C-BE32-E72D297353CC}">
                <c16:uniqueId val="{00000012-01E9-4AF7-825E-F1CDE3393586}"/>
              </c:ext>
            </c:extLst>
          </c:dPt>
          <c:dPt>
            <c:idx val="9"/>
            <c:marker>
              <c:symbol val="triangle"/>
              <c:size val="10"/>
              <c:spPr>
                <a:solidFill>
                  <a:srgbClr val="00B050"/>
                </a:solidFill>
              </c:spPr>
            </c:marker>
            <c:bubble3D val="0"/>
            <c:extLst>
              <c:ext xmlns:c16="http://schemas.microsoft.com/office/drawing/2014/chart" uri="{C3380CC4-5D6E-409C-BE32-E72D297353CC}">
                <c16:uniqueId val="{00000013-01E9-4AF7-825E-F1CDE3393586}"/>
              </c:ext>
            </c:extLst>
          </c:dPt>
          <c:dPt>
            <c:idx val="11"/>
            <c:bubble3D val="0"/>
            <c:extLst>
              <c:ext xmlns:c16="http://schemas.microsoft.com/office/drawing/2014/chart" uri="{C3380CC4-5D6E-409C-BE32-E72D297353CC}">
                <c16:uniqueId val="{00000014-01E9-4AF7-825E-F1CDE3393586}"/>
              </c:ext>
            </c:extLst>
          </c:dPt>
          <c:dPt>
            <c:idx val="12"/>
            <c:marker>
              <c:symbol val="triangle"/>
              <c:size val="10"/>
              <c:spPr>
                <a:solidFill>
                  <a:srgbClr val="00B050"/>
                </a:solidFill>
              </c:spPr>
            </c:marker>
            <c:bubble3D val="0"/>
            <c:extLst>
              <c:ext xmlns:c16="http://schemas.microsoft.com/office/drawing/2014/chart" uri="{C3380CC4-5D6E-409C-BE32-E72D297353CC}">
                <c16:uniqueId val="{00000015-01E9-4AF7-825E-F1CDE3393586}"/>
              </c:ext>
            </c:extLst>
          </c:dPt>
          <c:xVal>
            <c:numRef>
              <c:f>UPS_data!$D$15:$P$15</c:f>
              <c:numCache>
                <c:formatCode>0%</c:formatCode>
                <c:ptCount val="13"/>
                <c:pt idx="0">
                  <c:v>0</c:v>
                </c:pt>
                <c:pt idx="1">
                  <c:v>0.1</c:v>
                </c:pt>
                <c:pt idx="2">
                  <c:v>0.2</c:v>
                </c:pt>
                <c:pt idx="3">
                  <c:v>0.25</c:v>
                </c:pt>
                <c:pt idx="4">
                  <c:v>0.3</c:v>
                </c:pt>
                <c:pt idx="5">
                  <c:v>0.4</c:v>
                </c:pt>
                <c:pt idx="6">
                  <c:v>0.5</c:v>
                </c:pt>
                <c:pt idx="7">
                  <c:v>0.6</c:v>
                </c:pt>
                <c:pt idx="8">
                  <c:v>0.7</c:v>
                </c:pt>
                <c:pt idx="9">
                  <c:v>0.75</c:v>
                </c:pt>
                <c:pt idx="10">
                  <c:v>0.8</c:v>
                </c:pt>
                <c:pt idx="11">
                  <c:v>0.9</c:v>
                </c:pt>
                <c:pt idx="12">
                  <c:v>1</c:v>
                </c:pt>
              </c:numCache>
            </c:numRef>
          </c:xVal>
          <c:yVal>
            <c:numRef>
              <c:f>UPS_data!$D$18:$P$18</c:f>
              <c:numCache>
                <c:formatCode>0.0%</c:formatCode>
                <c:ptCount val="13"/>
                <c:pt idx="0">
                  <c:v>0</c:v>
                </c:pt>
                <c:pt idx="1">
                  <c:v>0.87</c:v>
                </c:pt>
                <c:pt idx="2">
                  <c:v>0.92700000000000005</c:v>
                </c:pt>
                <c:pt idx="3">
                  <c:v>0.94099999999999995</c:v>
                </c:pt>
                <c:pt idx="4">
                  <c:v>0.95</c:v>
                </c:pt>
                <c:pt idx="5">
                  <c:v>0.95940000000000003</c:v>
                </c:pt>
                <c:pt idx="6">
                  <c:v>0.96299999999999997</c:v>
                </c:pt>
                <c:pt idx="7">
                  <c:v>0.96589999999999998</c:v>
                </c:pt>
                <c:pt idx="8">
                  <c:v>0.96830000000000005</c:v>
                </c:pt>
                <c:pt idx="9">
                  <c:v>0.96899999999999997</c:v>
                </c:pt>
                <c:pt idx="10">
                  <c:v>0.96950000000000003</c:v>
                </c:pt>
                <c:pt idx="11">
                  <c:v>0.97</c:v>
                </c:pt>
                <c:pt idx="12">
                  <c:v>0.97</c:v>
                </c:pt>
              </c:numCache>
            </c:numRef>
          </c:yVal>
          <c:smooth val="1"/>
          <c:extLst>
            <c:ext xmlns:c16="http://schemas.microsoft.com/office/drawing/2014/chart" uri="{C3380CC4-5D6E-409C-BE32-E72D297353CC}">
              <c16:uniqueId val="{00000016-01E9-4AF7-825E-F1CDE3393586}"/>
            </c:ext>
          </c:extLst>
        </c:ser>
        <c:dLbls>
          <c:showLegendKey val="0"/>
          <c:showVal val="0"/>
          <c:showCatName val="0"/>
          <c:showSerName val="0"/>
          <c:showPercent val="0"/>
          <c:showBubbleSize val="0"/>
        </c:dLbls>
        <c:axId val="49570176"/>
        <c:axId val="49572096"/>
      </c:scatterChart>
      <c:valAx>
        <c:axId val="49570176"/>
        <c:scaling>
          <c:orientation val="minMax"/>
          <c:max val="1"/>
          <c:min val="0"/>
        </c:scaling>
        <c:delete val="0"/>
        <c:axPos val="b"/>
        <c:majorGridlines/>
        <c:title>
          <c:tx>
            <c:rich>
              <a:bodyPr/>
              <a:lstStyle/>
              <a:p>
                <a:pPr>
                  <a:defRPr sz="1400" b="0"/>
                </a:pPr>
                <a:r>
                  <a:rPr lang="en-US" sz="1400" b="0"/>
                  <a:t>Load Factor</a:t>
                </a:r>
              </a:p>
            </c:rich>
          </c:tx>
          <c:layout>
            <c:manualLayout>
              <c:xMode val="edge"/>
              <c:yMode val="edge"/>
              <c:x val="0.46505100549867429"/>
              <c:y val="0.94799961441718594"/>
            </c:manualLayout>
          </c:layout>
          <c:overlay val="0"/>
        </c:title>
        <c:numFmt formatCode="0%" sourceLinked="1"/>
        <c:majorTickMark val="out"/>
        <c:minorTickMark val="none"/>
        <c:tickLblPos val="nextTo"/>
        <c:txPr>
          <a:bodyPr/>
          <a:lstStyle/>
          <a:p>
            <a:pPr>
              <a:defRPr sz="1200"/>
            </a:pPr>
            <a:endParaRPr lang="en-US"/>
          </a:p>
        </c:txPr>
        <c:crossAx val="49572096"/>
        <c:crosses val="autoZero"/>
        <c:crossBetween val="midCat"/>
        <c:majorUnit val="0.1"/>
      </c:valAx>
      <c:valAx>
        <c:axId val="49572096"/>
        <c:scaling>
          <c:orientation val="minMax"/>
          <c:max val="0.98"/>
          <c:min val="0.8600000000000001"/>
        </c:scaling>
        <c:delete val="0"/>
        <c:axPos val="l"/>
        <c:majorGridlines/>
        <c:title>
          <c:tx>
            <c:rich>
              <a:bodyPr rot="-5400000" vert="horz"/>
              <a:lstStyle/>
              <a:p>
                <a:pPr>
                  <a:defRPr sz="1400" b="0"/>
                </a:pPr>
                <a:r>
                  <a:rPr lang="en-US" sz="1400" b="0"/>
                  <a:t>Efficiency</a:t>
                </a:r>
              </a:p>
            </c:rich>
          </c:tx>
          <c:layout>
            <c:manualLayout>
              <c:xMode val="edge"/>
              <c:yMode val="edge"/>
              <c:x val="1.653194780683058E-2"/>
              <c:y val="0.18396872469066736"/>
            </c:manualLayout>
          </c:layout>
          <c:overlay val="0"/>
        </c:title>
        <c:numFmt formatCode="0%" sourceLinked="0"/>
        <c:majorTickMark val="out"/>
        <c:minorTickMark val="none"/>
        <c:tickLblPos val="nextTo"/>
        <c:txPr>
          <a:bodyPr/>
          <a:lstStyle/>
          <a:p>
            <a:pPr>
              <a:defRPr sz="1200"/>
            </a:pPr>
            <a:endParaRPr lang="en-US"/>
          </a:p>
        </c:txPr>
        <c:crossAx val="49570176"/>
        <c:crosses val="autoZero"/>
        <c:crossBetween val="midCat"/>
      </c:valAx>
    </c:plotArea>
    <c:legend>
      <c:legendPos val="r"/>
      <c:layout>
        <c:manualLayout>
          <c:xMode val="edge"/>
          <c:yMode val="edge"/>
          <c:x val="0.54259861961699229"/>
          <c:y val="0.51608818080921715"/>
          <c:w val="0.19590283083868856"/>
          <c:h val="0.15730657590520952"/>
        </c:manualLayout>
      </c:layout>
      <c:overlay val="0"/>
      <c:spPr>
        <a:solidFill>
          <a:schemeClr val="bg1"/>
        </a:solidFill>
        <a:ln>
          <a:solidFill>
            <a:schemeClr val="bg1">
              <a:lumMod val="50000"/>
            </a:schemeClr>
          </a:solidFill>
        </a:ln>
      </c:spPr>
      <c:txPr>
        <a:bodyPr/>
        <a:lstStyle/>
        <a:p>
          <a:pPr>
            <a:defRPr sz="1400"/>
          </a:pPr>
          <a:endParaRPr lang="en-US"/>
        </a:p>
      </c:txPr>
    </c:legend>
    <c:plotVisOnly val="1"/>
    <c:dispBlanksAs val="gap"/>
    <c:showDLblsOverMax val="0"/>
  </c:chart>
  <c:spPr>
    <a:ln>
      <a:noFill/>
    </a:ln>
  </c:spPr>
  <c:txPr>
    <a:bodyPr/>
    <a:lstStyle/>
    <a:p>
      <a:pPr>
        <a:defRPr>
          <a:latin typeface="Arial Narrow" panose="020B060602020203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6</xdr:row>
      <xdr:rowOff>28575</xdr:rowOff>
    </xdr:from>
    <xdr:to>
      <xdr:col>11</xdr:col>
      <xdr:colOff>238125</xdr:colOff>
      <xdr:row>40</xdr:row>
      <xdr:rowOff>154305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9075" y="1209675"/>
          <a:ext cx="7362825" cy="6905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38</xdr:row>
      <xdr:rowOff>123825</xdr:rowOff>
    </xdr:from>
    <xdr:to>
      <xdr:col>12</xdr:col>
      <xdr:colOff>438150</xdr:colOff>
      <xdr:row>65</xdr:row>
      <xdr:rowOff>57150</xdr:rowOff>
    </xdr:to>
    <xdr:graphicFrame macro="">
      <xdr:nvGraphicFramePr>
        <xdr:cNvPr id="5887132" name="Chart 3">
          <a:extLst>
            <a:ext uri="{FF2B5EF4-FFF2-40B4-BE49-F238E27FC236}">
              <a16:creationId xmlns:a16="http://schemas.microsoft.com/office/drawing/2014/main" id="{00000000-0008-0000-0500-00009CD45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8</xdr:row>
      <xdr:rowOff>123825</xdr:rowOff>
    </xdr:from>
    <xdr:to>
      <xdr:col>12</xdr:col>
      <xdr:colOff>400050</xdr:colOff>
      <xdr:row>33</xdr:row>
      <xdr:rowOff>142875</xdr:rowOff>
    </xdr:to>
    <xdr:graphicFrame macro="">
      <xdr:nvGraphicFramePr>
        <xdr:cNvPr id="5887133" name="Chart 5">
          <a:extLst>
            <a:ext uri="{FF2B5EF4-FFF2-40B4-BE49-F238E27FC236}">
              <a16:creationId xmlns:a16="http://schemas.microsoft.com/office/drawing/2014/main" id="{00000000-0008-0000-0500-00009DD45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8</xdr:row>
      <xdr:rowOff>47625</xdr:rowOff>
    </xdr:from>
    <xdr:to>
      <xdr:col>12</xdr:col>
      <xdr:colOff>723900</xdr:colOff>
      <xdr:row>43</xdr:row>
      <xdr:rowOff>28575</xdr:rowOff>
    </xdr:to>
    <xdr:graphicFrame macro="">
      <xdr:nvGraphicFramePr>
        <xdr:cNvPr id="4010671" name="Chart 1">
          <a:extLst>
            <a:ext uri="{FF2B5EF4-FFF2-40B4-BE49-F238E27FC236}">
              <a16:creationId xmlns:a16="http://schemas.microsoft.com/office/drawing/2014/main" id="{00000000-0008-0000-0600-0000AF323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504825</xdr:colOff>
      <xdr:row>22</xdr:row>
      <xdr:rowOff>76199</xdr:rowOff>
    </xdr:from>
    <xdr:to>
      <xdr:col>16</xdr:col>
      <xdr:colOff>0</xdr:colOff>
      <xdr:row>64</xdr:row>
      <xdr:rowOff>142875</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centers.lbl.gov/tool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download.schneider-electric.com/files?&amp;p_enDocType=Specification%20guide&amp;p_File_Name=MBPN-9N5KL3_R0_EN.pdf&amp;p_Doc_Ref=SPD_MBPN-9N5KL3_EN" TargetMode="External"/><Relationship Id="rId2" Type="http://schemas.openxmlformats.org/officeDocument/2006/relationships/hyperlink" Target="https://download.schneider-electric.com/files?&amp;p_enDocType=Specification%20guide&amp;p_File_Name=MBPN-9QECL6_R4_EN.pdf&amp;p_Doc_Ref=SPD_MBPN-9QECL6_EN" TargetMode="External"/><Relationship Id="rId1" Type="http://schemas.openxmlformats.org/officeDocument/2006/relationships/hyperlink" Target="https://download.schneider-electric.com/files?&amp;p_enDocType=Specification%20guide&amp;p_File_Name=MBPN-A7TE49_R5_EN.pdf&amp;p_Doc_Ref=SPD_MBPN-A7TE49_EN" TargetMode="External"/><Relationship Id="rId5" Type="http://schemas.openxmlformats.org/officeDocument/2006/relationships/drawing" Target="../drawings/drawing4.xm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1"/>
    <pageSetUpPr fitToPage="1"/>
  </sheetPr>
  <dimension ref="A1:W32"/>
  <sheetViews>
    <sheetView showGridLines="0" tabSelected="1" zoomScaleNormal="100" zoomScaleSheetLayoutView="100" workbookViewId="0">
      <selection activeCell="D4" sqref="D4"/>
    </sheetView>
  </sheetViews>
  <sheetFormatPr defaultColWidth="9.109375" defaultRowHeight="13.8" x14ac:dyDescent="0.3"/>
  <cols>
    <col min="1" max="1" width="20.88671875" style="4" customWidth="1"/>
    <col min="2" max="2" width="65" style="24" customWidth="1"/>
    <col min="3" max="3" width="3.44140625" style="22" customWidth="1"/>
    <col min="4" max="4" width="18.5546875" style="22" customWidth="1"/>
    <col min="5" max="5" width="9.109375" style="22"/>
    <col min="6" max="6" width="40.33203125" style="22" customWidth="1"/>
    <col min="7" max="16384" width="9.109375" style="22"/>
  </cols>
  <sheetData>
    <row r="1" spans="1:17" ht="21.6" x14ac:dyDescent="0.3">
      <c r="A1" s="30" t="s">
        <v>242</v>
      </c>
      <c r="B1" s="31"/>
      <c r="C1" s="28"/>
      <c r="I1" s="28"/>
      <c r="J1" s="28"/>
      <c r="K1" s="28"/>
      <c r="L1" s="28"/>
    </row>
    <row r="2" spans="1:17" ht="21.6" x14ac:dyDescent="0.3">
      <c r="A2" s="413" t="s">
        <v>673</v>
      </c>
    </row>
    <row r="3" spans="1:17" ht="22.8" customHeight="1" x14ac:dyDescent="0.3">
      <c r="A3" s="444">
        <v>43903</v>
      </c>
    </row>
    <row r="4" spans="1:17" ht="58.2" customHeight="1" x14ac:dyDescent="0.3">
      <c r="A4" s="446" t="s">
        <v>674</v>
      </c>
      <c r="B4" s="446"/>
      <c r="M4" s="25"/>
    </row>
    <row r="5" spans="1:17" s="441" customFormat="1" ht="16.2" x14ac:dyDescent="0.3">
      <c r="A5" s="439" t="s">
        <v>246</v>
      </c>
      <c r="B5" s="440"/>
      <c r="E5" s="442"/>
      <c r="M5" s="443"/>
    </row>
    <row r="6" spans="1:17" x14ac:dyDescent="0.3">
      <c r="A6" s="28" t="s">
        <v>334</v>
      </c>
      <c r="M6" s="25"/>
    </row>
    <row r="7" spans="1:17" x14ac:dyDescent="0.3">
      <c r="A7" s="28" t="s">
        <v>335</v>
      </c>
      <c r="B7" s="115" t="s">
        <v>333</v>
      </c>
      <c r="M7" s="25"/>
    </row>
    <row r="8" spans="1:17" x14ac:dyDescent="0.3">
      <c r="A8" s="28"/>
      <c r="M8" s="25"/>
    </row>
    <row r="9" spans="1:17" ht="21.6" x14ac:dyDescent="0.3">
      <c r="A9" s="447" t="s">
        <v>52</v>
      </c>
      <c r="B9" s="447"/>
      <c r="M9" s="25"/>
    </row>
    <row r="10" spans="1:17" ht="17.25" customHeight="1" x14ac:dyDescent="0.3">
      <c r="A10" s="12" t="s">
        <v>51</v>
      </c>
      <c r="B10" s="12" t="s">
        <v>10</v>
      </c>
      <c r="C10" s="4"/>
      <c r="H10" s="4"/>
      <c r="I10" s="4"/>
      <c r="J10" s="4"/>
      <c r="K10" s="4"/>
      <c r="L10" s="26"/>
    </row>
    <row r="11" spans="1:17" x14ac:dyDescent="0.3">
      <c r="A11" s="92" t="s">
        <v>53</v>
      </c>
      <c r="B11" s="13" t="s">
        <v>584</v>
      </c>
      <c r="C11" s="4"/>
      <c r="E11" s="94"/>
      <c r="F11" s="11"/>
      <c r="G11" s="11"/>
      <c r="H11" s="11"/>
      <c r="I11" s="11"/>
      <c r="J11" s="11"/>
      <c r="K11" s="5"/>
      <c r="L11" s="27"/>
    </row>
    <row r="12" spans="1:17" ht="27.6" x14ac:dyDescent="0.3">
      <c r="A12" s="95" t="s">
        <v>243</v>
      </c>
      <c r="B12" s="13" t="s">
        <v>336</v>
      </c>
      <c r="C12" s="4"/>
      <c r="E12" s="5"/>
      <c r="F12" s="11"/>
      <c r="G12" s="11"/>
      <c r="H12" s="11"/>
      <c r="I12" s="11"/>
      <c r="J12" s="11"/>
      <c r="K12" s="5"/>
      <c r="L12" s="27"/>
      <c r="P12" s="3"/>
      <c r="Q12" s="3"/>
    </row>
    <row r="13" spans="1:17" x14ac:dyDescent="0.3">
      <c r="A13" s="96" t="s">
        <v>251</v>
      </c>
      <c r="B13" s="13" t="s">
        <v>330</v>
      </c>
      <c r="C13" s="4"/>
      <c r="E13" s="5"/>
      <c r="F13" s="5"/>
      <c r="G13" s="5"/>
      <c r="H13" s="5"/>
      <c r="I13" s="5"/>
      <c r="J13" s="5"/>
      <c r="K13" s="5"/>
      <c r="L13" s="26"/>
    </row>
    <row r="14" spans="1:17" x14ac:dyDescent="0.3">
      <c r="A14" s="93" t="s">
        <v>252</v>
      </c>
      <c r="B14" s="13" t="s">
        <v>331</v>
      </c>
      <c r="C14" s="4"/>
      <c r="E14" s="5"/>
      <c r="F14" s="5"/>
      <c r="G14" s="5"/>
      <c r="I14" s="5"/>
      <c r="J14" s="5"/>
      <c r="K14" s="5"/>
      <c r="L14" s="26"/>
    </row>
    <row r="15" spans="1:17" x14ac:dyDescent="0.3">
      <c r="A15" s="97" t="s">
        <v>244</v>
      </c>
      <c r="B15" s="13" t="s">
        <v>332</v>
      </c>
      <c r="C15" s="4"/>
      <c r="E15" s="5"/>
      <c r="F15" s="5"/>
      <c r="G15" s="5"/>
      <c r="I15" s="5"/>
      <c r="J15" s="5"/>
      <c r="K15" s="5"/>
    </row>
    <row r="16" spans="1:17" ht="27.6" x14ac:dyDescent="0.3">
      <c r="A16" s="98" t="s">
        <v>7</v>
      </c>
      <c r="B16" s="13" t="s">
        <v>515</v>
      </c>
      <c r="C16" s="4"/>
      <c r="E16" s="5"/>
      <c r="F16" s="5"/>
      <c r="G16" s="5"/>
      <c r="I16" s="5"/>
      <c r="J16" s="5"/>
      <c r="K16" s="5"/>
    </row>
    <row r="19" spans="1:23" ht="21.6" x14ac:dyDescent="0.3">
      <c r="A19" s="30" t="s">
        <v>54</v>
      </c>
      <c r="B19" s="18"/>
      <c r="N19" s="28"/>
      <c r="O19" s="28"/>
      <c r="P19" s="28"/>
      <c r="Q19" s="28"/>
      <c r="R19" s="28"/>
      <c r="S19" s="28"/>
      <c r="T19" s="28"/>
      <c r="U19" s="28"/>
      <c r="V19" s="28"/>
      <c r="W19" s="28"/>
    </row>
    <row r="20" spans="1:23" ht="53.25" customHeight="1" x14ac:dyDescent="0.3">
      <c r="A20" s="445" t="s">
        <v>671</v>
      </c>
      <c r="B20" s="445"/>
      <c r="N20" s="28"/>
      <c r="O20" s="28"/>
      <c r="P20" s="28"/>
      <c r="Q20" s="28"/>
      <c r="R20" s="28"/>
      <c r="S20" s="28"/>
      <c r="T20" s="28"/>
      <c r="U20" s="28"/>
      <c r="V20" s="28"/>
      <c r="W20" s="28"/>
    </row>
    <row r="21" spans="1:23" x14ac:dyDescent="0.3">
      <c r="A21" s="22"/>
      <c r="B21" s="22"/>
    </row>
    <row r="22" spans="1:23" ht="21.6" x14ac:dyDescent="0.3">
      <c r="A22" s="30" t="s">
        <v>55</v>
      </c>
      <c r="B22" s="22"/>
      <c r="N22" s="28"/>
      <c r="O22" s="28"/>
      <c r="P22" s="28"/>
    </row>
    <row r="23" spans="1:23" x14ac:dyDescent="0.3">
      <c r="A23" s="28" t="s">
        <v>517</v>
      </c>
      <c r="B23" s="22"/>
      <c r="C23" s="9"/>
      <c r="D23" s="23"/>
    </row>
    <row r="24" spans="1:23" x14ac:dyDescent="0.3">
      <c r="A24" s="28" t="s">
        <v>516</v>
      </c>
      <c r="B24" s="22"/>
      <c r="C24" s="9"/>
      <c r="D24" s="23"/>
    </row>
    <row r="25" spans="1:23" x14ac:dyDescent="0.3">
      <c r="A25" s="28" t="s">
        <v>518</v>
      </c>
      <c r="B25" s="9"/>
      <c r="C25" s="9"/>
      <c r="D25" s="23"/>
    </row>
    <row r="26" spans="1:23" x14ac:dyDescent="0.3">
      <c r="A26" s="22" t="s">
        <v>519</v>
      </c>
    </row>
    <row r="27" spans="1:23" x14ac:dyDescent="0.3">
      <c r="A27" s="22"/>
    </row>
    <row r="28" spans="1:23" ht="21.6" x14ac:dyDescent="0.3">
      <c r="A28" s="30" t="s">
        <v>247</v>
      </c>
    </row>
    <row r="29" spans="1:23" ht="45.6" customHeight="1" x14ac:dyDescent="0.3">
      <c r="A29" s="445" t="s">
        <v>672</v>
      </c>
      <c r="B29" s="445"/>
    </row>
    <row r="30" spans="1:23" ht="45.6" customHeight="1" x14ac:dyDescent="0.3">
      <c r="A30" s="445" t="s">
        <v>520</v>
      </c>
      <c r="B30" s="445"/>
    </row>
    <row r="31" spans="1:23" ht="22.8" customHeight="1" x14ac:dyDescent="0.3">
      <c r="A31" s="445" t="s">
        <v>329</v>
      </c>
      <c r="B31" s="445"/>
    </row>
    <row r="32" spans="1:23" ht="27" customHeight="1" x14ac:dyDescent="0.3">
      <c r="A32" s="445" t="s">
        <v>521</v>
      </c>
      <c r="B32" s="445"/>
    </row>
  </sheetData>
  <sheetProtection selectLockedCells="1" selectUnlockedCells="1"/>
  <mergeCells count="7">
    <mergeCell ref="A32:B32"/>
    <mergeCell ref="A31:B31"/>
    <mergeCell ref="A20:B20"/>
    <mergeCell ref="A4:B4"/>
    <mergeCell ref="A9:B9"/>
    <mergeCell ref="A29:B29"/>
    <mergeCell ref="A30:B30"/>
  </mergeCells>
  <phoneticPr fontId="0" type="noConversion"/>
  <hyperlinks>
    <hyperlink ref="B7" r:id="rId1" xr:uid="{00000000-0004-0000-0100-000000000000}"/>
  </hyperlinks>
  <pageMargins left="0.75" right="0.75" top="1" bottom="1" header="0.5" footer="0.5"/>
  <pageSetup scale="62"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A39"/>
  <sheetViews>
    <sheetView showGridLines="0" zoomScale="85" zoomScaleNormal="85" workbookViewId="0"/>
  </sheetViews>
  <sheetFormatPr defaultColWidth="9.109375" defaultRowHeight="13.8" x14ac:dyDescent="0.25"/>
  <cols>
    <col min="1" max="1" width="11.44140625" style="173" customWidth="1"/>
    <col min="2" max="2" width="6.88671875" style="173" customWidth="1"/>
    <col min="3" max="3" width="6.5546875" style="173" customWidth="1"/>
    <col min="4" max="4" width="20.6640625" style="173" customWidth="1"/>
    <col min="5" max="5" width="9" style="173" bestFit="1" customWidth="1"/>
    <col min="6" max="6" width="4.5546875" style="173" bestFit="1" customWidth="1"/>
    <col min="7" max="7" width="12.6640625" style="7" customWidth="1"/>
    <col min="8" max="8" width="20.5546875" style="7" customWidth="1"/>
    <col min="9" max="9" width="9" style="7" bestFit="1" customWidth="1"/>
    <col min="10" max="10" width="7.5546875" style="7" bestFit="1" customWidth="1"/>
    <col min="11" max="11" width="9.88671875" style="7" customWidth="1"/>
    <col min="12" max="12" width="16.44140625" style="7" customWidth="1"/>
    <col min="13" max="13" width="9" style="7" bestFit="1" customWidth="1"/>
    <col min="14" max="14" width="4" style="7" customWidth="1"/>
    <col min="15" max="15" width="8.33203125" style="7" customWidth="1"/>
    <col min="16" max="16" width="12.109375" style="7" customWidth="1"/>
    <col min="17" max="17" width="9" style="7" bestFit="1" customWidth="1"/>
    <col min="18" max="18" width="4.5546875" style="7" bestFit="1" customWidth="1"/>
    <col min="19" max="19" width="14.109375" style="6" customWidth="1"/>
    <col min="20" max="20" width="20.5546875" style="6" customWidth="1"/>
    <col min="21" max="21" width="9" style="6" bestFit="1" customWidth="1"/>
    <col min="22" max="22" width="7.5546875" style="6" bestFit="1" customWidth="1"/>
    <col min="23" max="23" width="53.88671875" style="6" customWidth="1"/>
    <col min="24" max="24" width="12.6640625" style="6" customWidth="1"/>
    <col min="25" max="25" width="9.109375" style="173" customWidth="1"/>
    <col min="26" max="16384" width="9.109375" style="4"/>
  </cols>
  <sheetData>
    <row r="1" spans="1:27" ht="21.6" x14ac:dyDescent="0.25">
      <c r="A1" s="30" t="s">
        <v>538</v>
      </c>
      <c r="B1" s="1"/>
      <c r="C1" s="1"/>
      <c r="D1" s="1"/>
      <c r="E1" s="1"/>
      <c r="F1" s="1"/>
      <c r="G1" s="2"/>
      <c r="H1" s="2"/>
      <c r="I1" s="2"/>
      <c r="J1" s="2"/>
      <c r="K1" s="2"/>
      <c r="L1" s="2"/>
      <c r="M1" s="2"/>
      <c r="N1" s="2"/>
      <c r="O1" s="2"/>
      <c r="P1" s="2"/>
      <c r="Q1" s="2"/>
      <c r="R1" s="2"/>
      <c r="S1" s="180"/>
      <c r="T1" s="180"/>
      <c r="U1" s="180"/>
      <c r="V1" s="180"/>
      <c r="W1" s="180"/>
    </row>
    <row r="2" spans="1:27" s="5" customFormat="1" x14ac:dyDescent="0.25">
      <c r="A2" s="5" t="s">
        <v>576</v>
      </c>
      <c r="B2" s="180"/>
      <c r="C2" s="180"/>
      <c r="D2" s="180"/>
      <c r="E2" s="180"/>
      <c r="F2" s="180"/>
      <c r="G2" s="2"/>
      <c r="H2" s="2"/>
      <c r="I2" s="2"/>
      <c r="J2" s="2"/>
      <c r="K2" s="2"/>
      <c r="L2" s="2"/>
      <c r="M2" s="2"/>
      <c r="N2" s="2"/>
      <c r="O2" s="2"/>
      <c r="P2" s="2"/>
      <c r="Q2" s="2"/>
      <c r="R2" s="2"/>
      <c r="S2" s="180"/>
      <c r="T2" s="180"/>
      <c r="U2" s="180"/>
      <c r="V2" s="180"/>
      <c r="W2" s="180"/>
      <c r="X2" s="6"/>
      <c r="Y2" s="6"/>
    </row>
    <row r="3" spans="1:27" s="5" customFormat="1" x14ac:dyDescent="0.25">
      <c r="A3" s="5" t="s">
        <v>581</v>
      </c>
      <c r="B3" s="180"/>
      <c r="C3" s="180"/>
      <c r="D3" s="180"/>
      <c r="E3" s="180"/>
      <c r="F3" s="180"/>
      <c r="G3" s="2"/>
      <c r="H3" s="2"/>
      <c r="I3" s="2"/>
      <c r="J3" s="2"/>
      <c r="K3" s="2"/>
      <c r="L3" s="2"/>
      <c r="M3" s="2"/>
      <c r="N3" s="2"/>
      <c r="O3" s="2"/>
      <c r="P3" s="2"/>
      <c r="Q3" s="2"/>
      <c r="R3" s="2"/>
      <c r="S3" s="180"/>
      <c r="T3" s="180"/>
      <c r="U3" s="180"/>
      <c r="V3" s="180"/>
      <c r="W3" s="180"/>
      <c r="X3" s="6"/>
      <c r="Y3" s="6"/>
    </row>
    <row r="4" spans="1:27" s="5" customFormat="1" x14ac:dyDescent="0.25">
      <c r="A4" s="5" t="s">
        <v>444</v>
      </c>
      <c r="B4" s="180"/>
      <c r="C4" s="180"/>
      <c r="D4" s="180"/>
      <c r="E4" s="180"/>
      <c r="F4" s="180"/>
      <c r="G4" s="2"/>
      <c r="H4" s="2"/>
      <c r="I4" s="2"/>
      <c r="J4" s="2"/>
      <c r="K4" s="2"/>
      <c r="L4" s="2"/>
      <c r="M4" s="2"/>
      <c r="N4" s="2"/>
      <c r="O4" s="2"/>
      <c r="P4" s="2"/>
      <c r="Q4" s="2"/>
      <c r="R4" s="2"/>
      <c r="S4" s="180"/>
      <c r="T4" s="180"/>
      <c r="U4" s="180"/>
      <c r="V4" s="180"/>
      <c r="W4" s="180"/>
      <c r="X4" s="6"/>
      <c r="Y4" s="6"/>
    </row>
    <row r="5" spans="1:27" s="5" customFormat="1" x14ac:dyDescent="0.25">
      <c r="B5" s="180"/>
      <c r="C5" s="180"/>
      <c r="D5" s="180"/>
      <c r="E5" s="180"/>
      <c r="F5" s="180"/>
      <c r="G5" s="2"/>
      <c r="H5" s="2"/>
      <c r="I5" s="2"/>
      <c r="J5" s="2"/>
      <c r="K5" s="2"/>
      <c r="L5" s="2"/>
      <c r="M5" s="2"/>
      <c r="N5" s="2"/>
      <c r="O5" s="2"/>
      <c r="P5" s="2"/>
      <c r="Q5" s="2"/>
      <c r="R5" s="2"/>
      <c r="S5" s="180"/>
      <c r="T5" s="180"/>
      <c r="U5" s="180"/>
      <c r="V5" s="180"/>
      <c r="W5" s="180"/>
      <c r="X5" s="6"/>
      <c r="Y5" s="6"/>
    </row>
    <row r="6" spans="1:27" s="5" customFormat="1" ht="21.6" x14ac:dyDescent="0.25">
      <c r="A6" s="30" t="s">
        <v>539</v>
      </c>
      <c r="C6" s="180"/>
      <c r="D6" s="180"/>
      <c r="E6" s="180"/>
      <c r="F6" s="180"/>
      <c r="G6" s="2"/>
      <c r="H6" s="2"/>
      <c r="I6" s="2"/>
      <c r="J6" s="2"/>
      <c r="K6" s="2"/>
      <c r="L6" s="2"/>
      <c r="M6" s="2"/>
      <c r="N6" s="2"/>
      <c r="O6" s="2"/>
      <c r="P6" s="2"/>
      <c r="Q6" s="2"/>
      <c r="R6" s="2"/>
      <c r="S6" s="180"/>
      <c r="T6" s="180"/>
      <c r="U6" s="180"/>
      <c r="V6" s="180"/>
      <c r="W6" s="180"/>
      <c r="X6" s="6"/>
      <c r="Y6" s="6"/>
    </row>
    <row r="7" spans="1:27" s="5" customFormat="1" ht="14.4" thickBot="1" x14ac:dyDescent="0.3">
      <c r="A7" s="181" t="s">
        <v>306</v>
      </c>
      <c r="B7" s="175" t="s">
        <v>307</v>
      </c>
      <c r="C7" s="175" t="s">
        <v>308</v>
      </c>
      <c r="D7" s="175" t="s">
        <v>309</v>
      </c>
      <c r="E7" s="175" t="s">
        <v>310</v>
      </c>
      <c r="F7" s="175" t="s">
        <v>311</v>
      </c>
      <c r="G7" s="175" t="s">
        <v>312</v>
      </c>
      <c r="H7" s="175" t="s">
        <v>313</v>
      </c>
      <c r="I7" s="175" t="s">
        <v>314</v>
      </c>
      <c r="J7" s="175" t="s">
        <v>315</v>
      </c>
      <c r="K7" s="175" t="s">
        <v>316</v>
      </c>
      <c r="L7" s="175" t="s">
        <v>317</v>
      </c>
      <c r="M7" s="175" t="s">
        <v>318</v>
      </c>
      <c r="N7" s="175" t="s">
        <v>319</v>
      </c>
      <c r="O7" s="175" t="s">
        <v>320</v>
      </c>
      <c r="P7" s="175" t="s">
        <v>321</v>
      </c>
      <c r="Q7" s="175" t="s">
        <v>322</v>
      </c>
      <c r="R7" s="175" t="s">
        <v>323</v>
      </c>
      <c r="S7" s="175" t="s">
        <v>324</v>
      </c>
      <c r="T7" s="175" t="s">
        <v>325</v>
      </c>
      <c r="U7" s="175" t="s">
        <v>326</v>
      </c>
      <c r="V7" s="175" t="s">
        <v>327</v>
      </c>
      <c r="W7" s="175" t="s">
        <v>328</v>
      </c>
      <c r="X7" s="6"/>
      <c r="Y7" s="6"/>
    </row>
    <row r="8" spans="1:27" ht="25.5" customHeight="1" x14ac:dyDescent="0.25">
      <c r="A8" s="575" t="s">
        <v>240</v>
      </c>
      <c r="B8" s="581" t="s">
        <v>24</v>
      </c>
      <c r="C8" s="582"/>
      <c r="D8" s="582"/>
      <c r="E8" s="582"/>
      <c r="F8" s="583"/>
      <c r="G8" s="587" t="s">
        <v>11</v>
      </c>
      <c r="H8" s="588"/>
      <c r="I8" s="588"/>
      <c r="J8" s="589"/>
      <c r="K8" s="581" t="s">
        <v>236</v>
      </c>
      <c r="L8" s="582"/>
      <c r="M8" s="582"/>
      <c r="N8" s="583"/>
      <c r="O8" s="590" t="s">
        <v>231</v>
      </c>
      <c r="P8" s="591"/>
      <c r="Q8" s="591"/>
      <c r="R8" s="592"/>
      <c r="S8" s="581" t="s">
        <v>234</v>
      </c>
      <c r="T8" s="582"/>
      <c r="U8" s="582"/>
      <c r="V8" s="583"/>
      <c r="W8" s="578" t="s">
        <v>237</v>
      </c>
      <c r="AA8" s="5"/>
    </row>
    <row r="9" spans="1:27" ht="83.25" customHeight="1" x14ac:dyDescent="0.25">
      <c r="A9" s="576"/>
      <c r="B9" s="593" t="s">
        <v>230</v>
      </c>
      <c r="C9" s="594"/>
      <c r="D9" s="584" t="s">
        <v>60</v>
      </c>
      <c r="E9" s="585"/>
      <c r="F9" s="586"/>
      <c r="G9" s="37" t="s">
        <v>229</v>
      </c>
      <c r="H9" s="584" t="s">
        <v>60</v>
      </c>
      <c r="I9" s="585"/>
      <c r="J9" s="586"/>
      <c r="K9" s="37" t="s">
        <v>239</v>
      </c>
      <c r="L9" s="584" t="s">
        <v>60</v>
      </c>
      <c r="M9" s="585"/>
      <c r="N9" s="586"/>
      <c r="O9" s="37" t="s">
        <v>232</v>
      </c>
      <c r="P9" s="584" t="s">
        <v>60</v>
      </c>
      <c r="Q9" s="585"/>
      <c r="R9" s="586"/>
      <c r="S9" s="39" t="s">
        <v>235</v>
      </c>
      <c r="T9" s="584" t="s">
        <v>60</v>
      </c>
      <c r="U9" s="585"/>
      <c r="V9" s="586"/>
      <c r="W9" s="579"/>
    </row>
    <row r="10" spans="1:27" ht="24" customHeight="1" thickBot="1" x14ac:dyDescent="0.3">
      <c r="A10" s="577"/>
      <c r="B10" s="66" t="s">
        <v>9</v>
      </c>
      <c r="C10" s="67" t="s">
        <v>8</v>
      </c>
      <c r="D10" s="67" t="s">
        <v>62</v>
      </c>
      <c r="E10" s="67" t="s">
        <v>61</v>
      </c>
      <c r="F10" s="68" t="s">
        <v>63</v>
      </c>
      <c r="G10" s="66" t="s">
        <v>5</v>
      </c>
      <c r="H10" s="67" t="s">
        <v>62</v>
      </c>
      <c r="I10" s="67" t="s">
        <v>61</v>
      </c>
      <c r="J10" s="68" t="s">
        <v>63</v>
      </c>
      <c r="K10" s="69"/>
      <c r="L10" s="67" t="s">
        <v>62</v>
      </c>
      <c r="M10" s="67" t="s">
        <v>61</v>
      </c>
      <c r="N10" s="68" t="s">
        <v>63</v>
      </c>
      <c r="O10" s="66" t="s">
        <v>233</v>
      </c>
      <c r="P10" s="67" t="s">
        <v>62</v>
      </c>
      <c r="Q10" s="67" t="s">
        <v>61</v>
      </c>
      <c r="R10" s="68" t="s">
        <v>63</v>
      </c>
      <c r="S10" s="66" t="s">
        <v>6</v>
      </c>
      <c r="T10" s="67" t="s">
        <v>62</v>
      </c>
      <c r="U10" s="67" t="s">
        <v>61</v>
      </c>
      <c r="V10" s="68" t="s">
        <v>63</v>
      </c>
      <c r="W10" s="580"/>
      <c r="X10" s="4"/>
    </row>
    <row r="11" spans="1:27" ht="41.4" x14ac:dyDescent="0.25">
      <c r="A11" s="70">
        <v>1</v>
      </c>
      <c r="B11" s="52" t="s">
        <v>25</v>
      </c>
      <c r="C11" s="53" t="s">
        <v>25</v>
      </c>
      <c r="D11" s="172"/>
      <c r="E11" s="172"/>
      <c r="F11" s="54"/>
      <c r="G11" s="55">
        <v>0</v>
      </c>
      <c r="H11" s="56"/>
      <c r="I11" s="56"/>
      <c r="J11" s="57"/>
      <c r="K11" s="58">
        <v>0</v>
      </c>
      <c r="L11" s="59"/>
      <c r="M11" s="59"/>
      <c r="N11" s="60"/>
      <c r="O11" s="61">
        <v>62.87</v>
      </c>
      <c r="P11" s="56"/>
      <c r="Q11" s="56"/>
      <c r="R11" s="57"/>
      <c r="S11" s="62">
        <v>23.86</v>
      </c>
      <c r="T11" s="63"/>
      <c r="U11" s="63"/>
      <c r="V11" s="64"/>
      <c r="W11" s="65" t="s">
        <v>26</v>
      </c>
      <c r="X11" s="4"/>
    </row>
    <row r="12" spans="1:27" ht="27.6" x14ac:dyDescent="0.25">
      <c r="A12" s="71">
        <v>2</v>
      </c>
      <c r="B12" s="50" t="s">
        <v>25</v>
      </c>
      <c r="C12" s="51" t="s">
        <v>25</v>
      </c>
      <c r="D12" s="182"/>
      <c r="E12" s="182"/>
      <c r="F12" s="36"/>
      <c r="G12" s="46">
        <v>0</v>
      </c>
      <c r="H12" s="33"/>
      <c r="I12" s="33"/>
      <c r="J12" s="38"/>
      <c r="K12" s="47">
        <v>0</v>
      </c>
      <c r="L12" s="32"/>
      <c r="M12" s="32"/>
      <c r="N12" s="45"/>
      <c r="O12" s="48">
        <v>60.4</v>
      </c>
      <c r="P12" s="33"/>
      <c r="Q12" s="33"/>
      <c r="R12" s="38"/>
      <c r="S12" s="40">
        <v>33.770000000000003</v>
      </c>
      <c r="T12" s="34"/>
      <c r="U12" s="34"/>
      <c r="V12" s="41"/>
      <c r="W12" s="42" t="s">
        <v>27</v>
      </c>
      <c r="X12" s="4"/>
    </row>
    <row r="13" spans="1:27" ht="27.6" x14ac:dyDescent="0.25">
      <c r="A13" s="71">
        <v>3</v>
      </c>
      <c r="B13" s="50" t="s">
        <v>25</v>
      </c>
      <c r="C13" s="51" t="s">
        <v>25</v>
      </c>
      <c r="D13" s="182"/>
      <c r="E13" s="182"/>
      <c r="F13" s="36"/>
      <c r="G13" s="46">
        <v>0</v>
      </c>
      <c r="H13" s="33"/>
      <c r="I13" s="33"/>
      <c r="J13" s="38"/>
      <c r="K13" s="47">
        <v>0</v>
      </c>
      <c r="L13" s="32"/>
      <c r="M13" s="32"/>
      <c r="N13" s="45"/>
      <c r="O13" s="48">
        <v>25</v>
      </c>
      <c r="P13" s="33"/>
      <c r="Q13" s="33"/>
      <c r="R13" s="38"/>
      <c r="S13" s="40">
        <v>41.6</v>
      </c>
      <c r="T13" s="34"/>
      <c r="U13" s="34"/>
      <c r="V13" s="41"/>
      <c r="W13" s="42" t="s">
        <v>28</v>
      </c>
      <c r="X13" s="4"/>
    </row>
    <row r="14" spans="1:27" ht="27.6" x14ac:dyDescent="0.25">
      <c r="A14" s="71">
        <v>4</v>
      </c>
      <c r="B14" s="50" t="s">
        <v>25</v>
      </c>
      <c r="C14" s="51" t="s">
        <v>25</v>
      </c>
      <c r="D14" s="182"/>
      <c r="E14" s="182"/>
      <c r="F14" s="36"/>
      <c r="G14" s="46">
        <v>78.5</v>
      </c>
      <c r="H14" s="33" t="s">
        <v>219</v>
      </c>
      <c r="I14" s="29" t="s">
        <v>65</v>
      </c>
      <c r="J14" s="36" t="s">
        <v>64</v>
      </c>
      <c r="K14" s="47">
        <v>0</v>
      </c>
      <c r="L14" s="32"/>
      <c r="M14" s="32"/>
      <c r="N14" s="45"/>
      <c r="O14" s="48">
        <v>8.9</v>
      </c>
      <c r="P14" s="33"/>
      <c r="Q14" s="33"/>
      <c r="R14" s="38"/>
      <c r="S14" s="40">
        <v>4.12</v>
      </c>
      <c r="T14" s="34"/>
      <c r="U14" s="34"/>
      <c r="V14" s="41"/>
      <c r="W14" s="42" t="s">
        <v>29</v>
      </c>
      <c r="X14" s="4"/>
    </row>
    <row r="15" spans="1:27" ht="80.25" customHeight="1" x14ac:dyDescent="0.25">
      <c r="A15" s="71">
        <v>5</v>
      </c>
      <c r="B15" s="50" t="s">
        <v>25</v>
      </c>
      <c r="C15" s="51" t="s">
        <v>25</v>
      </c>
      <c r="D15" s="182"/>
      <c r="E15" s="182"/>
      <c r="F15" s="36"/>
      <c r="G15" s="46">
        <v>78.5</v>
      </c>
      <c r="H15" s="33" t="s">
        <v>219</v>
      </c>
      <c r="I15" s="29" t="s">
        <v>65</v>
      </c>
      <c r="J15" s="36" t="s">
        <v>64</v>
      </c>
      <c r="K15" s="47">
        <v>0</v>
      </c>
      <c r="L15" s="32"/>
      <c r="M15" s="32"/>
      <c r="N15" s="45"/>
      <c r="O15" s="48">
        <v>8.56</v>
      </c>
      <c r="P15" s="33"/>
      <c r="Q15" s="33"/>
      <c r="R15" s="38"/>
      <c r="S15" s="40">
        <v>4.9800000000000004</v>
      </c>
      <c r="T15" s="35" t="s">
        <v>226</v>
      </c>
      <c r="U15" s="29" t="s">
        <v>65</v>
      </c>
      <c r="V15" s="36" t="s">
        <v>224</v>
      </c>
      <c r="W15" s="42" t="s">
        <v>30</v>
      </c>
      <c r="X15" s="4"/>
    </row>
    <row r="16" spans="1:27" x14ac:dyDescent="0.25">
      <c r="A16" s="71">
        <v>6</v>
      </c>
      <c r="B16" s="50">
        <v>225</v>
      </c>
      <c r="C16" s="51">
        <f t="shared" ref="C16:C24" si="0">B16*0.8</f>
        <v>180</v>
      </c>
      <c r="D16" s="182"/>
      <c r="E16" s="182"/>
      <c r="F16" s="36"/>
      <c r="G16" s="46">
        <v>0</v>
      </c>
      <c r="H16" s="33"/>
      <c r="I16" s="33"/>
      <c r="J16" s="38"/>
      <c r="K16" s="47">
        <v>0</v>
      </c>
      <c r="L16" s="32"/>
      <c r="M16" s="32"/>
      <c r="N16" s="45"/>
      <c r="O16" s="48">
        <v>16</v>
      </c>
      <c r="P16" s="33"/>
      <c r="Q16" s="33"/>
      <c r="R16" s="38"/>
      <c r="S16" s="40">
        <v>35.31</v>
      </c>
      <c r="T16" s="34"/>
      <c r="U16" s="34"/>
      <c r="V16" s="41"/>
      <c r="W16" s="42" t="s">
        <v>31</v>
      </c>
      <c r="X16" s="4"/>
    </row>
    <row r="17" spans="1:24" x14ac:dyDescent="0.25">
      <c r="A17" s="71">
        <v>7</v>
      </c>
      <c r="B17" s="50">
        <v>225</v>
      </c>
      <c r="C17" s="51">
        <f t="shared" si="0"/>
        <v>180</v>
      </c>
      <c r="D17" s="182"/>
      <c r="E17" s="182"/>
      <c r="F17" s="36"/>
      <c r="G17" s="46">
        <v>94</v>
      </c>
      <c r="H17" s="33"/>
      <c r="I17" s="33"/>
      <c r="J17" s="38"/>
      <c r="K17" s="47">
        <v>0</v>
      </c>
      <c r="L17" s="32"/>
      <c r="M17" s="32"/>
      <c r="N17" s="45"/>
      <c r="O17" s="48">
        <v>2.4</v>
      </c>
      <c r="P17" s="33"/>
      <c r="Q17" s="33"/>
      <c r="R17" s="38"/>
      <c r="S17" s="40">
        <v>64.540000000000006</v>
      </c>
      <c r="T17" s="34"/>
      <c r="U17" s="34"/>
      <c r="V17" s="41"/>
      <c r="W17" s="42" t="s">
        <v>32</v>
      </c>
      <c r="X17" s="4"/>
    </row>
    <row r="18" spans="1:24" ht="27.6" x14ac:dyDescent="0.25">
      <c r="A18" s="71">
        <v>8</v>
      </c>
      <c r="B18" s="50">
        <f>160+50</f>
        <v>210</v>
      </c>
      <c r="C18" s="51">
        <f t="shared" si="0"/>
        <v>168</v>
      </c>
      <c r="D18" s="182" t="s">
        <v>66</v>
      </c>
      <c r="E18" s="29" t="s">
        <v>65</v>
      </c>
      <c r="F18" s="36" t="s">
        <v>64</v>
      </c>
      <c r="G18" s="46">
        <f>(93+90)/2</f>
        <v>91.5</v>
      </c>
      <c r="H18" s="33"/>
      <c r="I18" s="33"/>
      <c r="J18" s="38"/>
      <c r="K18" s="47">
        <v>0</v>
      </c>
      <c r="L18" s="32"/>
      <c r="M18" s="32"/>
      <c r="N18" s="45"/>
      <c r="O18" s="48">
        <v>2.5</v>
      </c>
      <c r="P18" s="33"/>
      <c r="Q18" s="33"/>
      <c r="R18" s="38"/>
      <c r="S18" s="40">
        <v>47.64</v>
      </c>
      <c r="T18" s="34"/>
      <c r="U18" s="34"/>
      <c r="V18" s="41"/>
      <c r="W18" s="42" t="s">
        <v>33</v>
      </c>
      <c r="X18" s="4"/>
    </row>
    <row r="19" spans="1:24" ht="27.6" x14ac:dyDescent="0.25">
      <c r="A19" s="71">
        <v>9</v>
      </c>
      <c r="B19" s="50">
        <f>2225+2500</f>
        <v>4725</v>
      </c>
      <c r="C19" s="51">
        <f t="shared" si="0"/>
        <v>3780</v>
      </c>
      <c r="D19" s="182" t="s">
        <v>67</v>
      </c>
      <c r="E19" s="29" t="s">
        <v>65</v>
      </c>
      <c r="F19" s="36" t="s">
        <v>64</v>
      </c>
      <c r="G19" s="46">
        <v>80</v>
      </c>
      <c r="H19" s="33"/>
      <c r="I19" s="33"/>
      <c r="J19" s="38"/>
      <c r="K19" s="47">
        <v>0.4</v>
      </c>
      <c r="L19" s="32"/>
      <c r="M19" s="32"/>
      <c r="N19" s="45"/>
      <c r="O19" s="48">
        <v>74</v>
      </c>
      <c r="P19" s="33"/>
      <c r="Q19" s="33"/>
      <c r="R19" s="38"/>
      <c r="S19" s="40">
        <v>19.190000000000001</v>
      </c>
      <c r="T19" s="34"/>
      <c r="U19" s="34"/>
      <c r="V19" s="41"/>
      <c r="W19" s="42" t="s">
        <v>34</v>
      </c>
      <c r="X19" s="4"/>
    </row>
    <row r="20" spans="1:24" ht="55.2" x14ac:dyDescent="0.25">
      <c r="A20" s="71">
        <v>10</v>
      </c>
      <c r="B20" s="50">
        <v>375</v>
      </c>
      <c r="C20" s="51">
        <f t="shared" si="0"/>
        <v>300</v>
      </c>
      <c r="D20" s="182" t="s">
        <v>68</v>
      </c>
      <c r="E20" s="29" t="s">
        <v>65</v>
      </c>
      <c r="F20" s="36" t="s">
        <v>64</v>
      </c>
      <c r="G20" s="46">
        <v>80</v>
      </c>
      <c r="H20" s="33"/>
      <c r="I20" s="33"/>
      <c r="J20" s="38"/>
      <c r="K20" s="47">
        <v>0</v>
      </c>
      <c r="L20" s="32"/>
      <c r="M20" s="32"/>
      <c r="N20" s="45"/>
      <c r="O20" s="48">
        <v>26.2</v>
      </c>
      <c r="P20" s="33"/>
      <c r="Q20" s="33"/>
      <c r="R20" s="38"/>
      <c r="S20" s="40">
        <v>8.4700000000000006</v>
      </c>
      <c r="T20" s="34"/>
      <c r="U20" s="34"/>
      <c r="V20" s="41"/>
      <c r="W20" s="42" t="s">
        <v>35</v>
      </c>
      <c r="X20" s="4"/>
    </row>
    <row r="21" spans="1:24" ht="41.4" x14ac:dyDescent="0.25">
      <c r="A21" s="71">
        <v>11</v>
      </c>
      <c r="B21" s="50">
        <f>5*1110</f>
        <v>5550</v>
      </c>
      <c r="C21" s="51">
        <f t="shared" si="0"/>
        <v>4440</v>
      </c>
      <c r="D21" s="182" t="s">
        <v>72</v>
      </c>
      <c r="E21" s="29" t="s">
        <v>65</v>
      </c>
      <c r="F21" s="36" t="s">
        <v>64</v>
      </c>
      <c r="G21" s="46">
        <f>(68+87+81+86+85)/5</f>
        <v>81.400000000000006</v>
      </c>
      <c r="H21" s="33" t="s">
        <v>220</v>
      </c>
      <c r="I21" s="29" t="s">
        <v>65</v>
      </c>
      <c r="J21" s="36" t="s">
        <v>64</v>
      </c>
      <c r="K21" s="47">
        <v>0.34</v>
      </c>
      <c r="L21" s="32"/>
      <c r="M21" s="32"/>
      <c r="N21" s="45"/>
      <c r="O21" s="48">
        <v>73</v>
      </c>
      <c r="P21" s="33"/>
      <c r="Q21" s="33"/>
      <c r="R21" s="38"/>
      <c r="S21" s="40">
        <v>14.51</v>
      </c>
      <c r="T21" s="34"/>
      <c r="U21" s="34"/>
      <c r="V21" s="41"/>
      <c r="W21" s="42" t="s">
        <v>36</v>
      </c>
      <c r="X21" s="4"/>
    </row>
    <row r="22" spans="1:24" ht="27.6" x14ac:dyDescent="0.25">
      <c r="A22" s="71">
        <v>12</v>
      </c>
      <c r="B22" s="50">
        <f>2*500</f>
        <v>1000</v>
      </c>
      <c r="C22" s="51">
        <f t="shared" si="0"/>
        <v>800</v>
      </c>
      <c r="D22" s="182" t="s">
        <v>71</v>
      </c>
      <c r="E22" s="29" t="s">
        <v>65</v>
      </c>
      <c r="F22" s="36" t="s">
        <v>64</v>
      </c>
      <c r="G22" s="46">
        <v>83.9</v>
      </c>
      <c r="H22" s="33" t="s">
        <v>221</v>
      </c>
      <c r="I22" s="29" t="s">
        <v>65</v>
      </c>
      <c r="J22" s="36" t="s">
        <v>64</v>
      </c>
      <c r="K22" s="47">
        <v>0</v>
      </c>
      <c r="L22" s="32"/>
      <c r="M22" s="32"/>
      <c r="N22" s="45"/>
      <c r="O22" s="48">
        <v>8.15</v>
      </c>
      <c r="P22" s="33"/>
      <c r="Q22" s="33"/>
      <c r="R22" s="38"/>
      <c r="S22" s="40">
        <v>23.31</v>
      </c>
      <c r="T22" s="34"/>
      <c r="U22" s="34"/>
      <c r="V22" s="41"/>
      <c r="W22" s="42" t="s">
        <v>37</v>
      </c>
      <c r="X22" s="4"/>
    </row>
    <row r="23" spans="1:24" ht="27.6" x14ac:dyDescent="0.25">
      <c r="A23" s="71">
        <v>13</v>
      </c>
      <c r="B23" s="50">
        <f>1500+3000</f>
        <v>4500</v>
      </c>
      <c r="C23" s="51">
        <f t="shared" si="0"/>
        <v>3600</v>
      </c>
      <c r="D23" s="182" t="s">
        <v>70</v>
      </c>
      <c r="E23" s="29" t="s">
        <v>65</v>
      </c>
      <c r="F23" s="36" t="s">
        <v>64</v>
      </c>
      <c r="G23" s="46">
        <v>0</v>
      </c>
      <c r="H23" s="33"/>
      <c r="I23" s="33"/>
      <c r="J23" s="38"/>
      <c r="K23" s="47">
        <v>0.42</v>
      </c>
      <c r="L23" s="32"/>
      <c r="M23" s="32"/>
      <c r="N23" s="45"/>
      <c r="O23" s="48">
        <v>119</v>
      </c>
      <c r="P23" s="33" t="s">
        <v>225</v>
      </c>
      <c r="Q23" s="29" t="s">
        <v>65</v>
      </c>
      <c r="R23" s="36" t="s">
        <v>64</v>
      </c>
      <c r="S23" s="40">
        <v>29</v>
      </c>
      <c r="T23" s="34"/>
      <c r="U23" s="34"/>
      <c r="V23" s="41"/>
      <c r="W23" s="42" t="s">
        <v>38</v>
      </c>
      <c r="X23" s="4"/>
    </row>
    <row r="24" spans="1:24" ht="27.6" x14ac:dyDescent="0.25">
      <c r="A24" s="71">
        <v>14</v>
      </c>
      <c r="B24" s="50">
        <f>1500+3000</f>
        <v>4500</v>
      </c>
      <c r="C24" s="51">
        <f t="shared" si="0"/>
        <v>3600</v>
      </c>
      <c r="D24" s="182" t="s">
        <v>70</v>
      </c>
      <c r="E24" s="29" t="s">
        <v>65</v>
      </c>
      <c r="F24" s="36" t="s">
        <v>64</v>
      </c>
      <c r="G24" s="46">
        <v>0</v>
      </c>
      <c r="H24" s="33"/>
      <c r="I24" s="33"/>
      <c r="J24" s="38"/>
      <c r="K24" s="47">
        <v>0.42</v>
      </c>
      <c r="L24" s="32"/>
      <c r="M24" s="32"/>
      <c r="N24" s="45"/>
      <c r="O24" s="48">
        <v>83.47</v>
      </c>
      <c r="P24" s="33"/>
      <c r="Q24" s="33"/>
      <c r="R24" s="38"/>
      <c r="S24" s="40">
        <v>29.16</v>
      </c>
      <c r="T24" s="34"/>
      <c r="U24" s="34"/>
      <c r="V24" s="41"/>
      <c r="W24" s="42" t="s">
        <v>39</v>
      </c>
      <c r="X24" s="4"/>
    </row>
    <row r="25" spans="1:24" x14ac:dyDescent="0.25">
      <c r="A25" s="71">
        <v>15</v>
      </c>
      <c r="B25" s="50" t="s">
        <v>25</v>
      </c>
      <c r="C25" s="51" t="s">
        <v>25</v>
      </c>
      <c r="D25" s="182"/>
      <c r="E25" s="182"/>
      <c r="F25" s="36"/>
      <c r="G25" s="46">
        <v>93</v>
      </c>
      <c r="H25" s="33" t="s">
        <v>222</v>
      </c>
      <c r="I25" s="29" t="s">
        <v>65</v>
      </c>
      <c r="J25" s="36" t="s">
        <v>64</v>
      </c>
      <c r="K25" s="47">
        <v>0</v>
      </c>
      <c r="L25" s="32"/>
      <c r="M25" s="32"/>
      <c r="N25" s="45"/>
      <c r="O25" s="49">
        <v>27.501000000000001</v>
      </c>
      <c r="P25" s="33"/>
      <c r="Q25" s="33"/>
      <c r="R25" s="38"/>
      <c r="S25" s="40">
        <v>15.71</v>
      </c>
      <c r="T25" s="34"/>
      <c r="U25" s="34"/>
      <c r="V25" s="41"/>
      <c r="W25" s="42"/>
      <c r="X25" s="4"/>
    </row>
    <row r="26" spans="1:24" x14ac:dyDescent="0.25">
      <c r="A26" s="71">
        <v>16</v>
      </c>
      <c r="B26" s="50">
        <f>2840*2</f>
        <v>5680</v>
      </c>
      <c r="C26" s="51">
        <f>B26*0.8</f>
        <v>4544</v>
      </c>
      <c r="D26" s="182"/>
      <c r="E26" s="182"/>
      <c r="F26" s="36"/>
      <c r="G26" s="46">
        <v>0</v>
      </c>
      <c r="H26" s="33"/>
      <c r="I26" s="33"/>
      <c r="J26" s="38"/>
      <c r="K26" s="47">
        <v>0.33</v>
      </c>
      <c r="L26" s="32"/>
      <c r="M26" s="32"/>
      <c r="N26" s="45"/>
      <c r="O26" s="48">
        <v>10</v>
      </c>
      <c r="P26" s="33"/>
      <c r="Q26" s="33"/>
      <c r="R26" s="38"/>
      <c r="S26" s="40">
        <v>37.700000000000003</v>
      </c>
      <c r="T26" s="34"/>
      <c r="U26" s="34"/>
      <c r="V26" s="41"/>
      <c r="W26" s="42" t="s">
        <v>40</v>
      </c>
      <c r="X26" s="4"/>
    </row>
    <row r="27" spans="1:24" x14ac:dyDescent="0.25">
      <c r="A27" s="71">
        <v>17</v>
      </c>
      <c r="B27" s="50">
        <f>2840*2</f>
        <v>5680</v>
      </c>
      <c r="C27" s="51">
        <f>B27*0.8</f>
        <v>4544</v>
      </c>
      <c r="D27" s="182"/>
      <c r="E27" s="182"/>
      <c r="F27" s="36"/>
      <c r="G27" s="46">
        <v>0</v>
      </c>
      <c r="H27" s="33"/>
      <c r="I27" s="33"/>
      <c r="J27" s="38"/>
      <c r="K27" s="47">
        <v>0.33</v>
      </c>
      <c r="L27" s="32"/>
      <c r="M27" s="32"/>
      <c r="N27" s="45"/>
      <c r="O27" s="48">
        <v>10</v>
      </c>
      <c r="P27" s="33"/>
      <c r="Q27" s="33"/>
      <c r="R27" s="38"/>
      <c r="S27" s="40">
        <v>16.5</v>
      </c>
      <c r="T27" s="34"/>
      <c r="U27" s="34"/>
      <c r="V27" s="41"/>
      <c r="W27" s="42" t="s">
        <v>40</v>
      </c>
      <c r="X27" s="4"/>
    </row>
    <row r="28" spans="1:24" x14ac:dyDescent="0.25">
      <c r="A28" s="71">
        <v>18</v>
      </c>
      <c r="B28" s="50">
        <f>3*750</f>
        <v>2250</v>
      </c>
      <c r="C28" s="51">
        <f>B28*0.8</f>
        <v>1800</v>
      </c>
      <c r="D28" s="182"/>
      <c r="E28" s="182"/>
      <c r="F28" s="36"/>
      <c r="G28" s="46">
        <v>0</v>
      </c>
      <c r="H28" s="33"/>
      <c r="I28" s="33"/>
      <c r="J28" s="38"/>
      <c r="K28" s="47">
        <v>0.83</v>
      </c>
      <c r="L28" s="32"/>
      <c r="M28" s="32"/>
      <c r="N28" s="45"/>
      <c r="O28" s="48">
        <v>7.4249999999999998</v>
      </c>
      <c r="P28" s="33"/>
      <c r="Q28" s="33"/>
      <c r="R28" s="38"/>
      <c r="S28" s="40">
        <v>19.93</v>
      </c>
      <c r="T28" s="34"/>
      <c r="U28" s="34"/>
      <c r="V28" s="41"/>
      <c r="W28" s="42" t="s">
        <v>41</v>
      </c>
      <c r="X28" s="4"/>
    </row>
    <row r="29" spans="1:24" x14ac:dyDescent="0.25">
      <c r="A29" s="71">
        <v>19</v>
      </c>
      <c r="B29" s="50">
        <f>3*750</f>
        <v>2250</v>
      </c>
      <c r="C29" s="51">
        <f>B29*0.8</f>
        <v>1800</v>
      </c>
      <c r="D29" s="182"/>
      <c r="E29" s="182"/>
      <c r="F29" s="36"/>
      <c r="G29" s="46">
        <v>0</v>
      </c>
      <c r="H29" s="33"/>
      <c r="I29" s="33"/>
      <c r="J29" s="38"/>
      <c r="K29" s="47">
        <v>0.83</v>
      </c>
      <c r="L29" s="32"/>
      <c r="M29" s="32"/>
      <c r="N29" s="45"/>
      <c r="O29" s="48">
        <v>7.4249999999999998</v>
      </c>
      <c r="P29" s="33"/>
      <c r="Q29" s="33"/>
      <c r="R29" s="38"/>
      <c r="S29" s="40">
        <v>56.03</v>
      </c>
      <c r="T29" s="34"/>
      <c r="U29" s="34"/>
      <c r="V29" s="41"/>
      <c r="W29" s="42" t="s">
        <v>41</v>
      </c>
      <c r="X29" s="4"/>
    </row>
    <row r="30" spans="1:24" ht="27.6" x14ac:dyDescent="0.25">
      <c r="A30" s="71">
        <v>20</v>
      </c>
      <c r="B30" s="50" t="s">
        <v>25</v>
      </c>
      <c r="C30" s="51" t="s">
        <v>25</v>
      </c>
      <c r="D30" s="182"/>
      <c r="E30" s="182"/>
      <c r="F30" s="36"/>
      <c r="G30" s="46">
        <v>0</v>
      </c>
      <c r="H30" s="33"/>
      <c r="I30" s="33"/>
      <c r="J30" s="38"/>
      <c r="K30" s="47">
        <v>0</v>
      </c>
      <c r="L30" s="32"/>
      <c r="M30" s="32"/>
      <c r="N30" s="45"/>
      <c r="O30" s="48">
        <v>3.024</v>
      </c>
      <c r="P30" s="33"/>
      <c r="Q30" s="33"/>
      <c r="R30" s="38"/>
      <c r="S30" s="40">
        <v>61.18</v>
      </c>
      <c r="T30" s="34"/>
      <c r="U30" s="34"/>
      <c r="V30" s="41"/>
      <c r="W30" s="42" t="s">
        <v>42</v>
      </c>
      <c r="X30" s="4"/>
    </row>
    <row r="31" spans="1:24" ht="27.6" x14ac:dyDescent="0.25">
      <c r="A31" s="71">
        <v>21</v>
      </c>
      <c r="B31" s="50" t="s">
        <v>25</v>
      </c>
      <c r="C31" s="51" t="s">
        <v>25</v>
      </c>
      <c r="D31" s="182"/>
      <c r="E31" s="182"/>
      <c r="F31" s="36"/>
      <c r="G31" s="46">
        <v>0</v>
      </c>
      <c r="H31" s="33"/>
      <c r="I31" s="33"/>
      <c r="J31" s="38"/>
      <c r="K31" s="47">
        <v>0</v>
      </c>
      <c r="L31" s="32"/>
      <c r="M31" s="32"/>
      <c r="N31" s="45"/>
      <c r="O31" s="48">
        <v>8.58</v>
      </c>
      <c r="P31" s="33"/>
      <c r="Q31" s="33"/>
      <c r="R31" s="38"/>
      <c r="S31" s="40">
        <v>62.94</v>
      </c>
      <c r="T31" s="34"/>
      <c r="U31" s="34"/>
      <c r="V31" s="41"/>
      <c r="W31" s="42" t="s">
        <v>43</v>
      </c>
      <c r="X31" s="4"/>
    </row>
    <row r="32" spans="1:24" x14ac:dyDescent="0.25">
      <c r="A32" s="71">
        <v>22</v>
      </c>
      <c r="B32" s="50">
        <f>4*500</f>
        <v>2000</v>
      </c>
      <c r="C32" s="51">
        <f>B32*0.8</f>
        <v>1600</v>
      </c>
      <c r="D32" s="182"/>
      <c r="E32" s="182"/>
      <c r="F32" s="36"/>
      <c r="G32" s="46">
        <v>0</v>
      </c>
      <c r="H32" s="33"/>
      <c r="I32" s="33"/>
      <c r="J32" s="38"/>
      <c r="K32" s="47">
        <v>0.94</v>
      </c>
      <c r="L32" s="32"/>
      <c r="M32" s="32"/>
      <c r="N32" s="45"/>
      <c r="O32" s="48">
        <v>10</v>
      </c>
      <c r="P32" s="33"/>
      <c r="Q32" s="33"/>
      <c r="R32" s="38"/>
      <c r="S32" s="40">
        <v>56.5</v>
      </c>
      <c r="T32" s="34"/>
      <c r="U32" s="34"/>
      <c r="V32" s="41"/>
      <c r="W32" s="42" t="s">
        <v>44</v>
      </c>
      <c r="X32" s="4"/>
    </row>
    <row r="33" spans="1:25" x14ac:dyDescent="0.25">
      <c r="A33" s="71">
        <v>23</v>
      </c>
      <c r="B33" s="50" t="s">
        <v>25</v>
      </c>
      <c r="C33" s="51" t="s">
        <v>25</v>
      </c>
      <c r="D33" s="182"/>
      <c r="E33" s="182"/>
      <c r="F33" s="36"/>
      <c r="G33" s="46">
        <v>0</v>
      </c>
      <c r="H33" s="33"/>
      <c r="I33" s="33"/>
      <c r="J33" s="38"/>
      <c r="K33" s="47">
        <v>0</v>
      </c>
      <c r="L33" s="32"/>
      <c r="M33" s="32"/>
      <c r="N33" s="45"/>
      <c r="O33" s="49">
        <v>12.26</v>
      </c>
      <c r="P33" s="33"/>
      <c r="Q33" s="33"/>
      <c r="R33" s="38"/>
      <c r="S33" s="40">
        <v>89</v>
      </c>
      <c r="T33" s="34"/>
      <c r="U33" s="34"/>
      <c r="V33" s="41"/>
      <c r="W33" s="42"/>
      <c r="X33" s="4"/>
    </row>
    <row r="34" spans="1:25" x14ac:dyDescent="0.25">
      <c r="A34" s="71">
        <v>24</v>
      </c>
      <c r="B34" s="50" t="s">
        <v>25</v>
      </c>
      <c r="C34" s="51" t="s">
        <v>25</v>
      </c>
      <c r="D34" s="182"/>
      <c r="E34" s="182"/>
      <c r="F34" s="36"/>
      <c r="G34" s="46">
        <v>91</v>
      </c>
      <c r="H34" s="33"/>
      <c r="I34" s="33"/>
      <c r="J34" s="38"/>
      <c r="K34" s="47">
        <v>0</v>
      </c>
      <c r="L34" s="32"/>
      <c r="M34" s="32"/>
      <c r="N34" s="45"/>
      <c r="O34" s="49">
        <v>3.23</v>
      </c>
      <c r="P34" s="33"/>
      <c r="Q34" s="33"/>
      <c r="R34" s="38"/>
      <c r="S34" s="40">
        <v>137</v>
      </c>
      <c r="T34" s="34" t="s">
        <v>227</v>
      </c>
      <c r="U34" s="29" t="s">
        <v>65</v>
      </c>
      <c r="V34" s="36" t="s">
        <v>64</v>
      </c>
      <c r="W34" s="42"/>
      <c r="X34" s="4"/>
    </row>
    <row r="35" spans="1:25" ht="42" thickBot="1" x14ac:dyDescent="0.3">
      <c r="A35" s="72">
        <v>25</v>
      </c>
      <c r="B35" s="73">
        <v>3000</v>
      </c>
      <c r="C35" s="74">
        <f>B35*0.8</f>
        <v>2400</v>
      </c>
      <c r="D35" s="171" t="s">
        <v>69</v>
      </c>
      <c r="E35" s="75" t="s">
        <v>65</v>
      </c>
      <c r="F35" s="76" t="s">
        <v>64</v>
      </c>
      <c r="G35" s="77">
        <v>86</v>
      </c>
      <c r="H35" s="78" t="s">
        <v>223</v>
      </c>
      <c r="I35" s="75" t="s">
        <v>65</v>
      </c>
      <c r="J35" s="76" t="s">
        <v>224</v>
      </c>
      <c r="K35" s="79">
        <v>0.63</v>
      </c>
      <c r="L35" s="80"/>
      <c r="M35" s="80"/>
      <c r="N35" s="81"/>
      <c r="O35" s="82">
        <v>0</v>
      </c>
      <c r="P35" s="83" t="s">
        <v>228</v>
      </c>
      <c r="Q35" s="75" t="s">
        <v>65</v>
      </c>
      <c r="R35" s="76" t="s">
        <v>64</v>
      </c>
      <c r="S35" s="84">
        <v>0</v>
      </c>
      <c r="T35" s="83" t="s">
        <v>228</v>
      </c>
      <c r="U35" s="75" t="s">
        <v>65</v>
      </c>
      <c r="V35" s="76" t="s">
        <v>64</v>
      </c>
      <c r="W35" s="85"/>
      <c r="X35" s="4"/>
    </row>
    <row r="36" spans="1:25" ht="55.8" thickBot="1" x14ac:dyDescent="0.3">
      <c r="A36" s="86" t="s">
        <v>338</v>
      </c>
      <c r="B36" s="87"/>
      <c r="C36" s="375">
        <f>'User Inputs'!$C$26</f>
        <v>750</v>
      </c>
      <c r="D36" s="20" t="s">
        <v>660</v>
      </c>
      <c r="E36" s="88" t="s">
        <v>616</v>
      </c>
      <c r="F36" s="89" t="s">
        <v>238</v>
      </c>
      <c r="G36" s="378">
        <f>'User Inputs'!$C$38*100</f>
        <v>71.428571428571431</v>
      </c>
      <c r="H36" s="90" t="s">
        <v>661</v>
      </c>
      <c r="I36" s="88" t="s">
        <v>616</v>
      </c>
      <c r="J36" s="89" t="s">
        <v>238</v>
      </c>
      <c r="K36" s="377">
        <f>IF('User Inputs'!$C$36=0,0,'User Inputs'!$C$36)</f>
        <v>0.66666666666666663</v>
      </c>
      <c r="L36" s="90" t="s">
        <v>661</v>
      </c>
      <c r="M36" s="88" t="s">
        <v>616</v>
      </c>
      <c r="N36" s="89" t="s">
        <v>238</v>
      </c>
      <c r="O36" s="379">
        <f>'User Inputs'!$C$30/1000</f>
        <v>10</v>
      </c>
      <c r="P36" s="90" t="s">
        <v>662</v>
      </c>
      <c r="Q36" s="88" t="s">
        <v>616</v>
      </c>
      <c r="R36" s="89" t="s">
        <v>238</v>
      </c>
      <c r="S36" s="377">
        <f>IF(O36&gt;0,'User Inputs'!$C$25/O36,0)</f>
        <v>50</v>
      </c>
      <c r="T36" s="20" t="s">
        <v>663</v>
      </c>
      <c r="U36" s="88" t="s">
        <v>616</v>
      </c>
      <c r="V36" s="89" t="s">
        <v>238</v>
      </c>
      <c r="W36" s="19"/>
      <c r="X36" s="4"/>
      <c r="Y36" s="6"/>
    </row>
    <row r="37" spans="1:25" ht="55.8" thickBot="1" x14ac:dyDescent="0.3">
      <c r="A37" s="86" t="s">
        <v>441</v>
      </c>
      <c r="B37" s="87"/>
      <c r="C37" s="376"/>
      <c r="D37" s="20" t="s">
        <v>438</v>
      </c>
      <c r="E37" s="88" t="s">
        <v>616</v>
      </c>
      <c r="F37" s="89" t="s">
        <v>238</v>
      </c>
      <c r="G37" s="378">
        <f>IF('Table BB'!$Z$40="N/A",0,'Table BB'!$Z$40*100)</f>
        <v>96.490000000000009</v>
      </c>
      <c r="H37" s="90" t="s">
        <v>659</v>
      </c>
      <c r="I37" s="88" t="s">
        <v>616</v>
      </c>
      <c r="J37" s="89" t="s">
        <v>238</v>
      </c>
      <c r="K37" s="377">
        <f>IF('Action Results'!$E$20="N/A",0,'Action Results'!$E$20)</f>
        <v>0.8</v>
      </c>
      <c r="L37" s="90" t="s">
        <v>659</v>
      </c>
      <c r="M37" s="88" t="s">
        <v>616</v>
      </c>
      <c r="N37" s="89" t="s">
        <v>238</v>
      </c>
      <c r="O37" s="379">
        <f>'User Inputs'!$C$30/1000</f>
        <v>10</v>
      </c>
      <c r="P37" s="90" t="s">
        <v>442</v>
      </c>
      <c r="Q37" s="88" t="s">
        <v>616</v>
      </c>
      <c r="R37" s="89" t="s">
        <v>238</v>
      </c>
      <c r="S37" s="377">
        <f>IF(O37&gt;0,'User Inputs'!$C$25/O37,0)</f>
        <v>50</v>
      </c>
      <c r="T37" s="90" t="s">
        <v>443</v>
      </c>
      <c r="U37" s="88" t="s">
        <v>616</v>
      </c>
      <c r="V37" s="89" t="s">
        <v>238</v>
      </c>
      <c r="W37" s="19"/>
    </row>
    <row r="38" spans="1:25" x14ac:dyDescent="0.25">
      <c r="A38" s="362"/>
    </row>
    <row r="39" spans="1:25" x14ac:dyDescent="0.25">
      <c r="A39" s="362"/>
      <c r="S39" s="374"/>
    </row>
  </sheetData>
  <mergeCells count="13">
    <mergeCell ref="A8:A10"/>
    <mergeCell ref="W8:W10"/>
    <mergeCell ref="K8:N8"/>
    <mergeCell ref="L9:N9"/>
    <mergeCell ref="B8:F8"/>
    <mergeCell ref="D9:F9"/>
    <mergeCell ref="G8:J8"/>
    <mergeCell ref="H9:J9"/>
    <mergeCell ref="S8:V8"/>
    <mergeCell ref="T9:V9"/>
    <mergeCell ref="P9:R9"/>
    <mergeCell ref="O8:R8"/>
    <mergeCell ref="B9:C9"/>
  </mergeCells>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0"/>
  <sheetViews>
    <sheetView showGridLines="0" zoomScaleNormal="100" workbookViewId="0"/>
  </sheetViews>
  <sheetFormatPr defaultColWidth="9.109375" defaultRowHeight="13.8" x14ac:dyDescent="0.25"/>
  <cols>
    <col min="1" max="1" width="11.88671875" style="411" customWidth="1"/>
    <col min="2" max="6" width="8.6640625" style="411" customWidth="1"/>
    <col min="7" max="16" width="8.6640625" style="7" customWidth="1"/>
    <col min="17" max="17" width="16.5546875" style="7" customWidth="1"/>
    <col min="18" max="18" width="60.5546875" style="410" customWidth="1"/>
    <col min="19" max="22" width="8.6640625" style="410" customWidth="1"/>
    <col min="23" max="23" width="12.6640625" style="410" customWidth="1"/>
    <col min="24" max="24" width="9.109375" style="411" customWidth="1"/>
    <col min="25" max="16384" width="9.109375" style="4"/>
  </cols>
  <sheetData>
    <row r="1" spans="1:24" ht="21.6" x14ac:dyDescent="0.25">
      <c r="A1" s="30" t="s">
        <v>540</v>
      </c>
      <c r="B1" s="1"/>
      <c r="C1" s="1"/>
      <c r="D1" s="1"/>
      <c r="E1" s="1"/>
      <c r="F1" s="1"/>
      <c r="G1" s="2"/>
      <c r="H1" s="2"/>
      <c r="I1" s="2"/>
      <c r="J1" s="2"/>
      <c r="K1" s="2"/>
      <c r="L1" s="2"/>
      <c r="M1" s="2"/>
      <c r="N1" s="2"/>
      <c r="O1" s="2"/>
      <c r="P1" s="2"/>
      <c r="Q1" s="2"/>
      <c r="R1" s="180"/>
      <c r="S1" s="180"/>
      <c r="T1" s="180"/>
      <c r="U1" s="180"/>
      <c r="V1" s="180"/>
    </row>
    <row r="2" spans="1:24" s="5" customFormat="1" x14ac:dyDescent="0.25">
      <c r="A2" s="5" t="s">
        <v>576</v>
      </c>
      <c r="B2" s="180"/>
      <c r="C2" s="180"/>
      <c r="D2" s="180"/>
      <c r="E2" s="180"/>
      <c r="F2" s="180"/>
      <c r="H2" s="2"/>
      <c r="I2" s="2"/>
      <c r="J2" s="419"/>
      <c r="K2" s="419"/>
      <c r="L2" s="2"/>
      <c r="M2" s="2"/>
      <c r="N2" s="2"/>
      <c r="O2" s="2"/>
      <c r="P2" s="2"/>
      <c r="Q2" s="2"/>
      <c r="R2" s="180"/>
      <c r="S2" s="180"/>
      <c r="T2" s="180"/>
      <c r="U2" s="180"/>
      <c r="V2" s="180"/>
      <c r="W2" s="410"/>
      <c r="X2" s="410"/>
    </row>
    <row r="3" spans="1:24" s="5" customFormat="1" x14ac:dyDescent="0.25">
      <c r="A3" s="5" t="s">
        <v>596</v>
      </c>
      <c r="B3" s="180"/>
      <c r="C3" s="180"/>
      <c r="D3" s="180"/>
      <c r="E3" s="180"/>
      <c r="F3" s="180"/>
      <c r="H3" s="2"/>
      <c r="I3" s="2"/>
      <c r="J3" s="2"/>
      <c r="K3" s="2"/>
      <c r="L3" s="2"/>
      <c r="M3" s="2"/>
      <c r="N3" s="2"/>
      <c r="O3" s="2"/>
      <c r="P3" s="2"/>
      <c r="Q3" s="2"/>
      <c r="R3" s="180"/>
      <c r="S3" s="180"/>
      <c r="T3" s="180"/>
      <c r="U3" s="180"/>
      <c r="V3" s="180"/>
      <c r="W3" s="410"/>
      <c r="X3" s="410"/>
    </row>
    <row r="4" spans="1:24" s="5" customFormat="1" x14ac:dyDescent="0.25">
      <c r="A4" s="5" t="s">
        <v>591</v>
      </c>
      <c r="B4" s="180"/>
      <c r="C4" s="180"/>
      <c r="D4" s="180"/>
      <c r="E4" s="180"/>
      <c r="F4" s="180"/>
      <c r="H4" s="2"/>
      <c r="I4" s="2"/>
      <c r="J4" s="9"/>
      <c r="K4" s="2"/>
      <c r="L4" s="2"/>
      <c r="M4" s="2"/>
      <c r="N4" s="2"/>
      <c r="O4" s="2"/>
      <c r="P4" s="2"/>
      <c r="Q4" s="2"/>
      <c r="R4" s="180"/>
      <c r="S4" s="180"/>
      <c r="T4" s="180"/>
      <c r="U4" s="180"/>
      <c r="V4" s="180"/>
      <c r="W4" s="410"/>
      <c r="X4" s="410"/>
    </row>
    <row r="5" spans="1:24" s="5" customFormat="1" x14ac:dyDescent="0.25">
      <c r="A5" s="5" t="s">
        <v>592</v>
      </c>
      <c r="B5" s="180"/>
      <c r="C5" s="180"/>
      <c r="D5" s="180"/>
      <c r="E5" s="180"/>
      <c r="F5" s="180"/>
      <c r="H5" s="2"/>
      <c r="I5" s="2"/>
      <c r="J5" s="9"/>
      <c r="K5" s="2"/>
      <c r="L5" s="2"/>
      <c r="M5" s="2"/>
      <c r="N5" s="2"/>
      <c r="O5" s="2"/>
      <c r="P5" s="2"/>
      <c r="Q5" s="2"/>
      <c r="R5" s="180"/>
      <c r="S5" s="180"/>
      <c r="T5" s="180"/>
      <c r="U5" s="180"/>
      <c r="V5" s="180"/>
      <c r="W5" s="410"/>
      <c r="X5" s="410"/>
    </row>
    <row r="6" spans="1:24" s="5" customFormat="1" x14ac:dyDescent="0.25">
      <c r="A6" s="5" t="s">
        <v>593</v>
      </c>
      <c r="B6" s="180"/>
      <c r="C6" s="180"/>
      <c r="D6" s="180"/>
      <c r="E6" s="180"/>
      <c r="F6" s="180"/>
      <c r="H6" s="2"/>
      <c r="I6" s="2"/>
      <c r="J6" s="9"/>
      <c r="K6" s="2"/>
      <c r="L6" s="2"/>
      <c r="M6" s="2"/>
      <c r="N6" s="2"/>
      <c r="O6" s="2"/>
      <c r="P6" s="2"/>
      <c r="Q6" s="2"/>
      <c r="R6" s="180"/>
      <c r="S6" s="180"/>
      <c r="T6" s="180"/>
      <c r="U6" s="180"/>
      <c r="V6" s="180"/>
      <c r="W6" s="410"/>
      <c r="X6" s="410"/>
    </row>
    <row r="7" spans="1:24" s="5" customFormat="1" x14ac:dyDescent="0.25">
      <c r="A7" s="5" t="s">
        <v>594</v>
      </c>
      <c r="B7" s="180"/>
      <c r="C7" s="180"/>
      <c r="D7" s="180"/>
      <c r="E7" s="180"/>
      <c r="F7" s="180"/>
      <c r="H7" s="2"/>
      <c r="I7" s="2"/>
      <c r="J7" s="9"/>
      <c r="K7" s="2"/>
      <c r="L7" s="2"/>
      <c r="M7" s="2"/>
      <c r="N7" s="2"/>
      <c r="O7" s="2"/>
      <c r="P7" s="2"/>
      <c r="Q7" s="2"/>
      <c r="R7" s="180"/>
      <c r="S7" s="180"/>
      <c r="T7" s="180"/>
      <c r="U7" s="180"/>
      <c r="V7" s="180"/>
      <c r="W7" s="410"/>
      <c r="X7" s="410"/>
    </row>
    <row r="8" spans="1:24" s="5" customFormat="1" x14ac:dyDescent="0.25">
      <c r="A8" s="5" t="s">
        <v>595</v>
      </c>
      <c r="B8" s="180"/>
      <c r="C8" s="180"/>
      <c r="D8" s="180"/>
      <c r="E8" s="180"/>
      <c r="F8" s="180"/>
      <c r="H8" s="2"/>
      <c r="I8" s="2"/>
      <c r="J8" s="9"/>
      <c r="K8" s="2"/>
      <c r="L8" s="2"/>
      <c r="M8" s="2"/>
      <c r="N8" s="2"/>
      <c r="O8" s="2"/>
      <c r="P8" s="2"/>
      <c r="Q8" s="2"/>
      <c r="R8" s="180"/>
      <c r="S8" s="180"/>
      <c r="T8" s="180"/>
      <c r="U8" s="180"/>
      <c r="V8" s="180"/>
      <c r="W8" s="410"/>
      <c r="X8" s="410"/>
    </row>
    <row r="9" spans="1:24" s="5" customFormat="1" x14ac:dyDescent="0.25">
      <c r="A9" s="5" t="s">
        <v>597</v>
      </c>
      <c r="B9" s="180"/>
      <c r="C9" s="180"/>
      <c r="D9" s="180"/>
      <c r="E9" s="180"/>
      <c r="F9" s="180"/>
      <c r="H9" s="2"/>
      <c r="I9" s="2"/>
      <c r="J9" s="9"/>
      <c r="K9" s="2"/>
      <c r="L9" s="2"/>
      <c r="M9" s="2"/>
      <c r="N9" s="2"/>
      <c r="O9" s="2"/>
      <c r="P9" s="2"/>
      <c r="Q9" s="2"/>
      <c r="R9" s="180"/>
      <c r="S9" s="180"/>
      <c r="T9" s="180"/>
      <c r="U9" s="180"/>
      <c r="V9" s="180"/>
      <c r="W9" s="410"/>
      <c r="X9" s="410"/>
    </row>
    <row r="10" spans="1:24" s="5" customFormat="1" x14ac:dyDescent="0.25">
      <c r="B10" s="180"/>
      <c r="C10" s="180"/>
      <c r="D10" s="180"/>
      <c r="E10" s="180"/>
      <c r="F10" s="180"/>
      <c r="H10" s="2"/>
      <c r="I10" s="2"/>
      <c r="J10" s="9"/>
      <c r="K10" s="2"/>
      <c r="L10" s="2"/>
      <c r="M10" s="2"/>
      <c r="N10" s="2"/>
      <c r="O10" s="2"/>
      <c r="P10" s="2"/>
      <c r="Q10" s="2"/>
      <c r="R10" s="180"/>
      <c r="S10" s="180"/>
      <c r="T10" s="180"/>
      <c r="U10" s="180"/>
      <c r="V10" s="180"/>
      <c r="W10" s="410"/>
      <c r="X10" s="410"/>
    </row>
    <row r="11" spans="1:24" s="5" customFormat="1" x14ac:dyDescent="0.25">
      <c r="B11" s="180"/>
      <c r="C11" s="180"/>
      <c r="D11" s="180"/>
      <c r="E11" s="180"/>
      <c r="F11" s="180"/>
      <c r="G11" s="2"/>
      <c r="H11" s="2"/>
      <c r="I11" s="2"/>
      <c r="J11" s="2"/>
      <c r="K11" s="2"/>
      <c r="L11" s="2"/>
      <c r="M11" s="2"/>
      <c r="N11" s="2"/>
      <c r="O11" s="2"/>
      <c r="P11" s="2"/>
      <c r="Q11" s="2"/>
      <c r="R11" s="180"/>
      <c r="S11" s="180"/>
      <c r="T11" s="180"/>
      <c r="U11" s="180"/>
      <c r="V11" s="180"/>
      <c r="W11" s="410"/>
      <c r="X11" s="410"/>
    </row>
    <row r="12" spans="1:24" s="5" customFormat="1" ht="21.6" x14ac:dyDescent="0.25">
      <c r="A12" s="30" t="s">
        <v>563</v>
      </c>
      <c r="B12" s="180"/>
      <c r="C12" s="180"/>
      <c r="D12" s="180"/>
      <c r="E12" s="180"/>
      <c r="F12" s="180"/>
      <c r="G12" s="2"/>
      <c r="H12" s="2"/>
      <c r="I12" s="2"/>
      <c r="J12" s="2"/>
      <c r="K12" s="2"/>
      <c r="L12" s="2"/>
      <c r="M12" s="2"/>
      <c r="N12" s="2"/>
      <c r="O12" s="2"/>
      <c r="P12" s="2"/>
      <c r="Q12" s="2"/>
      <c r="R12" s="180"/>
      <c r="S12" s="180"/>
      <c r="T12" s="180"/>
      <c r="U12" s="180"/>
      <c r="V12" s="180"/>
      <c r="W12" s="410"/>
      <c r="X12" s="410"/>
    </row>
    <row r="13" spans="1:24" s="5" customFormat="1" ht="18.75" customHeight="1" x14ac:dyDescent="0.25">
      <c r="A13" s="412" t="s">
        <v>541</v>
      </c>
      <c r="B13" s="412" t="s">
        <v>542</v>
      </c>
      <c r="C13" s="412" t="s">
        <v>543</v>
      </c>
      <c r="D13" s="412" t="s">
        <v>544</v>
      </c>
      <c r="E13" s="412" t="s">
        <v>545</v>
      </c>
      <c r="F13" s="412" t="s">
        <v>546</v>
      </c>
      <c r="G13" s="412" t="s">
        <v>547</v>
      </c>
      <c r="H13" s="412" t="s">
        <v>548</v>
      </c>
      <c r="I13" s="412" t="s">
        <v>549</v>
      </c>
      <c r="J13" s="412" t="s">
        <v>550</v>
      </c>
      <c r="K13" s="412" t="s">
        <v>551</v>
      </c>
      <c r="L13" s="412" t="s">
        <v>552</v>
      </c>
      <c r="M13" s="412" t="s">
        <v>553</v>
      </c>
      <c r="N13" s="412" t="s">
        <v>554</v>
      </c>
      <c r="O13" s="412" t="s">
        <v>555</v>
      </c>
      <c r="P13" s="412" t="s">
        <v>556</v>
      </c>
      <c r="Q13" s="412" t="s">
        <v>558</v>
      </c>
      <c r="R13" s="412" t="s">
        <v>557</v>
      </c>
      <c r="S13" s="180"/>
      <c r="T13" s="180"/>
      <c r="U13" s="180"/>
      <c r="V13" s="180"/>
      <c r="W13" s="410"/>
      <c r="X13" s="410"/>
    </row>
    <row r="14" spans="1:24" ht="33" customHeight="1" x14ac:dyDescent="0.25">
      <c r="A14" s="595" t="s">
        <v>559</v>
      </c>
      <c r="B14" s="595" t="s">
        <v>561</v>
      </c>
      <c r="C14" s="595" t="s">
        <v>560</v>
      </c>
      <c r="D14" s="596" t="s">
        <v>261</v>
      </c>
      <c r="E14" s="597"/>
      <c r="F14" s="597"/>
      <c r="G14" s="597"/>
      <c r="H14" s="597"/>
      <c r="I14" s="597"/>
      <c r="J14" s="597"/>
      <c r="K14" s="597"/>
      <c r="L14" s="597"/>
      <c r="M14" s="597"/>
      <c r="N14" s="597"/>
      <c r="O14" s="597"/>
      <c r="P14" s="598"/>
      <c r="Q14" s="595" t="s">
        <v>614</v>
      </c>
      <c r="R14" s="595" t="s">
        <v>615</v>
      </c>
      <c r="S14" s="180"/>
      <c r="T14" s="180"/>
      <c r="U14" s="180"/>
      <c r="V14" s="180"/>
    </row>
    <row r="15" spans="1:24" ht="22.5" customHeight="1" x14ac:dyDescent="0.25">
      <c r="A15" s="595"/>
      <c r="B15" s="595"/>
      <c r="C15" s="595"/>
      <c r="D15" s="414">
        <v>0</v>
      </c>
      <c r="E15" s="414">
        <v>0.1</v>
      </c>
      <c r="F15" s="414">
        <v>0.2</v>
      </c>
      <c r="G15" s="414">
        <v>0.25</v>
      </c>
      <c r="H15" s="414">
        <v>0.3</v>
      </c>
      <c r="I15" s="414">
        <v>0.4</v>
      </c>
      <c r="J15" s="414">
        <v>0.5</v>
      </c>
      <c r="K15" s="414">
        <v>0.6</v>
      </c>
      <c r="L15" s="414">
        <v>0.7</v>
      </c>
      <c r="M15" s="414">
        <v>0.75</v>
      </c>
      <c r="N15" s="414">
        <v>0.8</v>
      </c>
      <c r="O15" s="414">
        <v>0.9</v>
      </c>
      <c r="P15" s="414">
        <v>1</v>
      </c>
      <c r="Q15" s="595"/>
      <c r="R15" s="595"/>
    </row>
    <row r="16" spans="1:24" ht="39.6" x14ac:dyDescent="0.25">
      <c r="A16" s="182" t="s">
        <v>567</v>
      </c>
      <c r="B16" s="416">
        <v>2017</v>
      </c>
      <c r="C16" s="416" t="s">
        <v>562</v>
      </c>
      <c r="D16" s="418">
        <v>0</v>
      </c>
      <c r="E16" s="418">
        <v>0.9</v>
      </c>
      <c r="F16" s="418">
        <v>0.95</v>
      </c>
      <c r="G16" s="415">
        <v>0.95799999999999996</v>
      </c>
      <c r="H16" s="418">
        <v>0.96050000000000002</v>
      </c>
      <c r="I16" s="418">
        <v>0.96299999999999997</v>
      </c>
      <c r="J16" s="415">
        <v>0.96399999999999997</v>
      </c>
      <c r="K16" s="418">
        <v>0.96350000000000002</v>
      </c>
      <c r="L16" s="418">
        <v>0.96250000000000002</v>
      </c>
      <c r="M16" s="415">
        <v>0.96199999999999997</v>
      </c>
      <c r="N16" s="418">
        <v>0.96150000000000002</v>
      </c>
      <c r="O16" s="418">
        <v>0.96099999999999997</v>
      </c>
      <c r="P16" s="415">
        <v>0.96099999999999997</v>
      </c>
      <c r="Q16" s="422" t="s">
        <v>568</v>
      </c>
      <c r="R16" s="420" t="s">
        <v>572</v>
      </c>
    </row>
    <row r="17" spans="1:18" ht="39.6" x14ac:dyDescent="0.25">
      <c r="A17" s="182" t="s">
        <v>566</v>
      </c>
      <c r="B17" s="416">
        <v>2016</v>
      </c>
      <c r="C17" s="416" t="s">
        <v>562</v>
      </c>
      <c r="D17" s="418">
        <v>0</v>
      </c>
      <c r="E17" s="418">
        <v>0.92500000000000004</v>
      </c>
      <c r="F17" s="418">
        <v>0.95</v>
      </c>
      <c r="G17" s="415">
        <v>0.95499999999999996</v>
      </c>
      <c r="H17" s="418">
        <v>0.95799999999999996</v>
      </c>
      <c r="I17" s="418">
        <v>0.96099999999999997</v>
      </c>
      <c r="J17" s="415">
        <v>0.96299999999999997</v>
      </c>
      <c r="K17" s="418">
        <v>0.9637</v>
      </c>
      <c r="L17" s="418">
        <v>0.96409999999999996</v>
      </c>
      <c r="M17" s="415">
        <v>0.96399999999999997</v>
      </c>
      <c r="N17" s="418">
        <v>0.9637</v>
      </c>
      <c r="O17" s="418">
        <v>0.96319999999999995</v>
      </c>
      <c r="P17" s="415">
        <v>0.96299999999999997</v>
      </c>
      <c r="Q17" s="422" t="s">
        <v>569</v>
      </c>
      <c r="R17" s="420" t="s">
        <v>573</v>
      </c>
    </row>
    <row r="18" spans="1:18" ht="39.6" x14ac:dyDescent="0.25">
      <c r="A18" s="182" t="s">
        <v>565</v>
      </c>
      <c r="B18" s="416">
        <v>2014</v>
      </c>
      <c r="C18" s="417" t="s">
        <v>571</v>
      </c>
      <c r="D18" s="418">
        <v>0</v>
      </c>
      <c r="E18" s="418">
        <v>0.87</v>
      </c>
      <c r="F18" s="418">
        <v>0.92700000000000005</v>
      </c>
      <c r="G18" s="415">
        <v>0.94099999999999995</v>
      </c>
      <c r="H18" s="418">
        <v>0.95</v>
      </c>
      <c r="I18" s="418">
        <v>0.95940000000000003</v>
      </c>
      <c r="J18" s="415">
        <v>0.96299999999999997</v>
      </c>
      <c r="K18" s="418">
        <v>0.96589999999999998</v>
      </c>
      <c r="L18" s="418">
        <v>0.96830000000000005</v>
      </c>
      <c r="M18" s="415">
        <v>0.96899999999999997</v>
      </c>
      <c r="N18" s="418">
        <v>0.96950000000000003</v>
      </c>
      <c r="O18" s="418">
        <v>0.97</v>
      </c>
      <c r="P18" s="415">
        <v>0.97</v>
      </c>
      <c r="Q18" s="422" t="s">
        <v>570</v>
      </c>
      <c r="R18" s="420" t="s">
        <v>574</v>
      </c>
    </row>
    <row r="20" spans="1:18" ht="17.25" customHeight="1" x14ac:dyDescent="0.25">
      <c r="C20" s="411" t="s">
        <v>564</v>
      </c>
      <c r="D20" s="423">
        <f>AVERAGE(D16:D18)</f>
        <v>0</v>
      </c>
      <c r="E20" s="423">
        <f t="shared" ref="E20:P20" si="0">AVERAGE(E16:E18)</f>
        <v>0.89833333333333343</v>
      </c>
      <c r="F20" s="423">
        <f t="shared" si="0"/>
        <v>0.94233333333333336</v>
      </c>
      <c r="G20" s="423">
        <f t="shared" si="0"/>
        <v>0.95133333333333325</v>
      </c>
      <c r="H20" s="423">
        <f t="shared" si="0"/>
        <v>0.95616666666666672</v>
      </c>
      <c r="I20" s="423">
        <f t="shared" si="0"/>
        <v>0.96113333333333328</v>
      </c>
      <c r="J20" s="423">
        <f t="shared" si="0"/>
        <v>0.96333333333333337</v>
      </c>
      <c r="K20" s="423">
        <f t="shared" si="0"/>
        <v>0.96436666666666671</v>
      </c>
      <c r="L20" s="423">
        <f t="shared" si="0"/>
        <v>0.96496666666666675</v>
      </c>
      <c r="M20" s="423">
        <f t="shared" si="0"/>
        <v>0.96499999999999997</v>
      </c>
      <c r="N20" s="423">
        <f t="shared" si="0"/>
        <v>0.96490000000000009</v>
      </c>
      <c r="O20" s="423">
        <f t="shared" si="0"/>
        <v>0.96473333333333322</v>
      </c>
      <c r="P20" s="423">
        <f t="shared" si="0"/>
        <v>0.96466666666666667</v>
      </c>
    </row>
  </sheetData>
  <mergeCells count="6">
    <mergeCell ref="A14:A15"/>
    <mergeCell ref="B14:B15"/>
    <mergeCell ref="C14:C15"/>
    <mergeCell ref="R14:R15"/>
    <mergeCell ref="Q14:Q15"/>
    <mergeCell ref="D14:P14"/>
  </mergeCells>
  <hyperlinks>
    <hyperlink ref="R16" r:id="rId1" xr:uid="{00000000-0004-0000-0B00-000000000000}"/>
    <hyperlink ref="R17" r:id="rId2" xr:uid="{00000000-0004-0000-0B00-000001000000}"/>
    <hyperlink ref="R18" r:id="rId3" xr:uid="{00000000-0004-0000-0B00-000002000000}"/>
  </hyperlinks>
  <pageMargins left="0.75" right="0.75" top="1" bottom="1" header="0.5" footer="0.5"/>
  <pageSetup orientation="portrait" horizontalDpi="0" verticalDpi="0" r:id="rId4"/>
  <headerFooter alignWithMargins="0"/>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4"/>
  <sheetViews>
    <sheetView showGridLines="0" workbookViewId="0"/>
  </sheetViews>
  <sheetFormatPr defaultColWidth="9.109375" defaultRowHeight="13.8" x14ac:dyDescent="0.25"/>
  <cols>
    <col min="1" max="1" width="16.109375" style="4" customWidth="1"/>
    <col min="2" max="2" width="18.109375" style="4" customWidth="1"/>
    <col min="3" max="3" width="15.44140625" style="4" customWidth="1"/>
    <col min="4" max="4" width="7.44140625" style="4" customWidth="1"/>
    <col min="5" max="5" width="7.33203125" style="4" customWidth="1"/>
    <col min="6" max="6" width="7.88671875" style="4" customWidth="1"/>
    <col min="7" max="7" width="13.6640625" style="4" customWidth="1"/>
    <col min="8" max="8" width="30.88671875" style="4" bestFit="1" customWidth="1"/>
    <col min="9" max="9" width="22.44140625" style="4" bestFit="1" customWidth="1"/>
    <col min="10" max="10" width="27.33203125" style="4" customWidth="1"/>
    <col min="11" max="16384" width="9.109375" style="4"/>
  </cols>
  <sheetData>
    <row r="1" spans="1:10" ht="21.6" x14ac:dyDescent="0.35">
      <c r="A1" s="30" t="s">
        <v>211</v>
      </c>
      <c r="F1" s="311" t="s">
        <v>535</v>
      </c>
    </row>
    <row r="2" spans="1:10" x14ac:dyDescent="0.25">
      <c r="A2" s="5" t="s">
        <v>582</v>
      </c>
      <c r="F2" s="94">
        <v>1</v>
      </c>
      <c r="G2" s="91" t="s">
        <v>536</v>
      </c>
    </row>
    <row r="3" spans="1:10" x14ac:dyDescent="0.25">
      <c r="A3" s="5" t="s">
        <v>576</v>
      </c>
      <c r="F3" s="94">
        <v>2</v>
      </c>
      <c r="G3" s="91" t="s">
        <v>537</v>
      </c>
    </row>
    <row r="4" spans="1:10" x14ac:dyDescent="0.25">
      <c r="F4" s="94">
        <v>3</v>
      </c>
      <c r="G4" s="91" t="s">
        <v>339</v>
      </c>
    </row>
    <row r="5" spans="1:10" x14ac:dyDescent="0.25">
      <c r="A5" s="4" t="s">
        <v>522</v>
      </c>
      <c r="B5" s="4" t="s">
        <v>523</v>
      </c>
      <c r="F5" s="94">
        <v>4</v>
      </c>
      <c r="G5" s="91" t="s">
        <v>583</v>
      </c>
    </row>
    <row r="6" spans="1:10" x14ac:dyDescent="0.25">
      <c r="A6" s="409" t="s">
        <v>524</v>
      </c>
      <c r="B6" s="4" t="s">
        <v>525</v>
      </c>
      <c r="F6" s="94"/>
      <c r="G6" s="91"/>
    </row>
    <row r="7" spans="1:10" x14ac:dyDescent="0.25">
      <c r="F7" s="94"/>
      <c r="G7" s="91"/>
    </row>
    <row r="8" spans="1:10" ht="21.6" x14ac:dyDescent="0.25">
      <c r="A8" s="30" t="s">
        <v>218</v>
      </c>
    </row>
    <row r="9" spans="1:10" ht="18" customHeight="1" x14ac:dyDescent="0.25">
      <c r="B9" s="604" t="s">
        <v>200</v>
      </c>
      <c r="C9" s="606" t="s">
        <v>201</v>
      </c>
      <c r="D9" s="607"/>
      <c r="E9" s="607"/>
      <c r="F9" s="608"/>
      <c r="G9" s="604" t="s">
        <v>214</v>
      </c>
      <c r="H9" s="604" t="s">
        <v>204</v>
      </c>
      <c r="I9" s="604" t="s">
        <v>526</v>
      </c>
      <c r="J9" s="604" t="s">
        <v>241</v>
      </c>
    </row>
    <row r="10" spans="1:10" ht="24.75" customHeight="1" x14ac:dyDescent="0.25">
      <c r="B10" s="605"/>
      <c r="C10" s="179" t="s">
        <v>212</v>
      </c>
      <c r="D10" s="184" t="s">
        <v>12</v>
      </c>
      <c r="E10" s="184" t="s">
        <v>203</v>
      </c>
      <c r="F10" s="184" t="s">
        <v>202</v>
      </c>
      <c r="G10" s="605"/>
      <c r="H10" s="605"/>
      <c r="I10" s="605"/>
      <c r="J10" s="605"/>
    </row>
    <row r="11" spans="1:10" ht="20.399999999999999" x14ac:dyDescent="0.25">
      <c r="A11" s="405" t="s">
        <v>199</v>
      </c>
      <c r="B11" s="14" t="s">
        <v>208</v>
      </c>
      <c r="C11" s="14" t="s">
        <v>205</v>
      </c>
      <c r="D11" s="17">
        <v>1</v>
      </c>
      <c r="E11" s="17">
        <v>122</v>
      </c>
      <c r="F11" s="17">
        <v>62</v>
      </c>
      <c r="G11" s="116" t="s">
        <v>215</v>
      </c>
      <c r="H11" s="16" t="s">
        <v>217</v>
      </c>
      <c r="I11" s="16" t="s">
        <v>533</v>
      </c>
      <c r="J11" s="16"/>
    </row>
    <row r="12" spans="1:10" x14ac:dyDescent="0.25">
      <c r="A12" s="404" t="s">
        <v>257</v>
      </c>
      <c r="B12" s="117" t="s">
        <v>258</v>
      </c>
      <c r="C12" s="14" t="s">
        <v>259</v>
      </c>
      <c r="D12" s="118"/>
      <c r="E12" s="118"/>
      <c r="F12" s="118"/>
      <c r="G12" s="117" t="s">
        <v>260</v>
      </c>
      <c r="H12" s="16"/>
      <c r="I12" s="16"/>
      <c r="J12" s="16"/>
    </row>
    <row r="13" spans="1:10" ht="27.6" x14ac:dyDescent="0.25">
      <c r="A13" s="601" t="s">
        <v>209</v>
      </c>
      <c r="B13" s="119"/>
      <c r="C13" s="14" t="s">
        <v>205</v>
      </c>
      <c r="D13" s="17">
        <v>3</v>
      </c>
      <c r="E13" s="17">
        <v>118</v>
      </c>
      <c r="F13" s="17">
        <v>48</v>
      </c>
      <c r="G13" s="120"/>
      <c r="H13" s="16" t="s">
        <v>216</v>
      </c>
      <c r="I13" s="16"/>
      <c r="J13" s="16" t="s">
        <v>514</v>
      </c>
    </row>
    <row r="14" spans="1:10" ht="27.6" x14ac:dyDescent="0.25">
      <c r="A14" s="602"/>
      <c r="B14" s="119"/>
      <c r="C14" s="14" t="s">
        <v>206</v>
      </c>
      <c r="D14" s="17">
        <v>79</v>
      </c>
      <c r="E14" s="17">
        <v>172</v>
      </c>
      <c r="F14" s="17">
        <v>155</v>
      </c>
      <c r="G14" s="121"/>
      <c r="H14" s="16" t="s">
        <v>216</v>
      </c>
      <c r="I14" s="16"/>
      <c r="J14" s="16"/>
    </row>
    <row r="15" spans="1:10" x14ac:dyDescent="0.25">
      <c r="A15" s="602"/>
      <c r="B15" s="119"/>
      <c r="C15" s="14" t="s">
        <v>207</v>
      </c>
      <c r="D15" s="15">
        <v>146</v>
      </c>
      <c r="E15" s="15">
        <v>208</v>
      </c>
      <c r="F15" s="15">
        <v>80</v>
      </c>
      <c r="G15" s="122"/>
      <c r="H15" s="16" t="s">
        <v>210</v>
      </c>
      <c r="I15" s="16"/>
      <c r="J15" s="16"/>
    </row>
    <row r="16" spans="1:10" x14ac:dyDescent="0.25">
      <c r="A16" s="602"/>
      <c r="B16" s="119"/>
      <c r="C16" s="10" t="s">
        <v>528</v>
      </c>
      <c r="D16" s="15">
        <v>201</v>
      </c>
      <c r="E16" s="15">
        <v>231</v>
      </c>
      <c r="F16" s="15">
        <v>167</v>
      </c>
      <c r="G16" s="123"/>
      <c r="H16" s="16" t="s">
        <v>210</v>
      </c>
      <c r="I16" s="16" t="s">
        <v>532</v>
      </c>
      <c r="J16" s="16"/>
    </row>
    <row r="17" spans="1:10" ht="27.6" x14ac:dyDescent="0.25">
      <c r="A17" s="602"/>
      <c r="B17" s="119"/>
      <c r="C17" s="14" t="s">
        <v>529</v>
      </c>
      <c r="D17" s="15">
        <v>229</v>
      </c>
      <c r="E17" s="15">
        <v>239</v>
      </c>
      <c r="F17" s="15">
        <v>235</v>
      </c>
      <c r="G17" s="124"/>
      <c r="H17" s="16" t="s">
        <v>217</v>
      </c>
      <c r="I17" s="16" t="s">
        <v>527</v>
      </c>
      <c r="J17" s="16" t="s">
        <v>514</v>
      </c>
    </row>
    <row r="18" spans="1:10" x14ac:dyDescent="0.25">
      <c r="A18" s="602"/>
      <c r="B18" s="119"/>
      <c r="C18" s="14" t="s">
        <v>213</v>
      </c>
      <c r="D18" s="15">
        <v>204</v>
      </c>
      <c r="E18" s="15">
        <v>255</v>
      </c>
      <c r="F18" s="15">
        <v>255</v>
      </c>
      <c r="G18" s="183"/>
      <c r="H18" s="16" t="s">
        <v>210</v>
      </c>
      <c r="I18" s="14" t="s">
        <v>534</v>
      </c>
      <c r="J18" s="14"/>
    </row>
    <row r="19" spans="1:10" x14ac:dyDescent="0.25">
      <c r="A19" s="602"/>
      <c r="B19" s="119"/>
      <c r="C19" s="14" t="s">
        <v>531</v>
      </c>
      <c r="D19" s="15">
        <v>166</v>
      </c>
      <c r="E19" s="15">
        <v>166</v>
      </c>
      <c r="F19" s="15">
        <v>166</v>
      </c>
      <c r="G19" s="44"/>
      <c r="H19" s="16" t="s">
        <v>210</v>
      </c>
      <c r="I19" s="14" t="s">
        <v>286</v>
      </c>
      <c r="J19" s="14"/>
    </row>
    <row r="20" spans="1:10" x14ac:dyDescent="0.25">
      <c r="A20" s="603"/>
      <c r="B20" s="119"/>
      <c r="C20" s="14" t="s">
        <v>530</v>
      </c>
      <c r="D20" s="15">
        <v>217</v>
      </c>
      <c r="E20" s="15">
        <v>217</v>
      </c>
      <c r="F20" s="15">
        <v>217</v>
      </c>
      <c r="G20" s="43"/>
      <c r="H20" s="16" t="s">
        <v>210</v>
      </c>
      <c r="I20" s="14" t="s">
        <v>286</v>
      </c>
      <c r="J20" s="14"/>
    </row>
    <row r="23" spans="1:10" ht="21.6" x14ac:dyDescent="0.25">
      <c r="A23" s="30" t="s">
        <v>513</v>
      </c>
    </row>
    <row r="24" spans="1:10" x14ac:dyDescent="0.25">
      <c r="A24" s="14" t="s">
        <v>53</v>
      </c>
      <c r="B24" s="600"/>
      <c r="C24" s="600"/>
      <c r="D24" s="600"/>
      <c r="E24" s="600"/>
      <c r="F24" s="600"/>
      <c r="G24" s="600"/>
    </row>
    <row r="25" spans="1:10" ht="12.75" customHeight="1" x14ac:dyDescent="0.25">
      <c r="A25" s="14" t="s">
        <v>243</v>
      </c>
      <c r="B25" s="600"/>
      <c r="C25" s="600"/>
      <c r="D25" s="600"/>
      <c r="E25" s="600"/>
      <c r="F25" s="600"/>
      <c r="G25" s="600"/>
    </row>
    <row r="26" spans="1:10" x14ac:dyDescent="0.25">
      <c r="A26" s="14" t="s">
        <v>251</v>
      </c>
      <c r="B26" s="600"/>
      <c r="C26" s="600"/>
      <c r="D26" s="600"/>
      <c r="E26" s="600"/>
      <c r="F26" s="600"/>
      <c r="G26" s="600"/>
    </row>
    <row r="27" spans="1:10" x14ac:dyDescent="0.25">
      <c r="A27" s="14" t="s">
        <v>252</v>
      </c>
      <c r="B27" s="600"/>
      <c r="C27" s="600"/>
      <c r="D27" s="600"/>
      <c r="E27" s="600"/>
      <c r="F27" s="600"/>
      <c r="G27" s="600"/>
    </row>
    <row r="28" spans="1:10" x14ac:dyDescent="0.25">
      <c r="A28" s="14" t="s">
        <v>244</v>
      </c>
      <c r="B28" s="600"/>
      <c r="C28" s="600"/>
      <c r="D28" s="600"/>
      <c r="E28" s="600"/>
      <c r="F28" s="600"/>
      <c r="G28" s="600"/>
    </row>
    <row r="29" spans="1:10" ht="12.75" customHeight="1" x14ac:dyDescent="0.25">
      <c r="A29" s="14" t="s">
        <v>7</v>
      </c>
      <c r="B29" s="600"/>
      <c r="C29" s="600"/>
      <c r="D29" s="600"/>
      <c r="E29" s="600"/>
      <c r="F29" s="600"/>
      <c r="G29" s="600"/>
    </row>
    <row r="30" spans="1:10" ht="12.75" customHeight="1" x14ac:dyDescent="0.25">
      <c r="A30" s="14" t="s">
        <v>509</v>
      </c>
      <c r="B30" s="600"/>
      <c r="C30" s="600"/>
      <c r="D30" s="600"/>
      <c r="E30" s="600"/>
      <c r="F30" s="600"/>
      <c r="G30" s="600"/>
    </row>
    <row r="31" spans="1:10" x14ac:dyDescent="0.25">
      <c r="A31" s="14" t="s">
        <v>510</v>
      </c>
      <c r="B31" s="600"/>
      <c r="C31" s="600"/>
      <c r="D31" s="600"/>
      <c r="E31" s="600"/>
      <c r="F31" s="600"/>
      <c r="G31" s="600"/>
    </row>
    <row r="32" spans="1:10" x14ac:dyDescent="0.25">
      <c r="A32" s="14" t="s">
        <v>511</v>
      </c>
      <c r="B32" s="600"/>
      <c r="C32" s="600"/>
      <c r="D32" s="600"/>
      <c r="E32" s="600"/>
      <c r="F32" s="600"/>
      <c r="G32" s="600"/>
    </row>
    <row r="33" spans="1:7" x14ac:dyDescent="0.25">
      <c r="A33" s="14" t="s">
        <v>439</v>
      </c>
      <c r="B33" s="599" t="s">
        <v>440</v>
      </c>
      <c r="C33" s="599"/>
      <c r="D33" s="599"/>
      <c r="E33" s="599"/>
      <c r="F33" s="599"/>
      <c r="G33" s="599"/>
    </row>
    <row r="34" spans="1:7" x14ac:dyDescent="0.25">
      <c r="A34" s="14" t="s">
        <v>512</v>
      </c>
      <c r="B34" s="600"/>
      <c r="C34" s="600"/>
      <c r="D34" s="600"/>
      <c r="E34" s="600"/>
      <c r="F34" s="600"/>
      <c r="G34" s="600"/>
    </row>
  </sheetData>
  <mergeCells count="18">
    <mergeCell ref="G9:G10"/>
    <mergeCell ref="J9:J10"/>
    <mergeCell ref="B9:B10"/>
    <mergeCell ref="H9:H10"/>
    <mergeCell ref="C9:F9"/>
    <mergeCell ref="I9:I10"/>
    <mergeCell ref="B24:G24"/>
    <mergeCell ref="B25:G25"/>
    <mergeCell ref="B26:G26"/>
    <mergeCell ref="B27:G27"/>
    <mergeCell ref="A13:A20"/>
    <mergeCell ref="B33:G33"/>
    <mergeCell ref="B34:G34"/>
    <mergeCell ref="B28:G28"/>
    <mergeCell ref="B29:G29"/>
    <mergeCell ref="B30:G30"/>
    <mergeCell ref="B31:G31"/>
    <mergeCell ref="B32:G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C000"/>
    <pageSetUpPr fitToPage="1"/>
  </sheetPr>
  <dimension ref="A1:O90"/>
  <sheetViews>
    <sheetView showGridLines="0" topLeftCell="A13" zoomScaleNormal="100" workbookViewId="0">
      <selection activeCell="D35" sqref="D35"/>
    </sheetView>
  </sheetViews>
  <sheetFormatPr defaultColWidth="9.109375" defaultRowHeight="13.8" x14ac:dyDescent="0.25"/>
  <cols>
    <col min="1" max="1" width="7.33203125" style="128" customWidth="1"/>
    <col min="2" max="2" width="63.5546875" style="128" customWidth="1"/>
    <col min="3" max="3" width="32.6640625" style="130" customWidth="1"/>
    <col min="4" max="4" width="32.5546875" style="131" customWidth="1"/>
    <col min="5" max="5" width="13.109375" style="128" customWidth="1"/>
    <col min="6" max="6" width="4.6640625" style="128" customWidth="1"/>
    <col min="7" max="7" width="36.6640625" style="128" customWidth="1"/>
    <col min="8" max="8" width="8" style="128" customWidth="1"/>
    <col min="9" max="9" width="8" style="354" hidden="1" customWidth="1"/>
    <col min="10" max="10" width="12.6640625" style="354" hidden="1" customWidth="1"/>
    <col min="11" max="11" width="25.6640625" style="128" customWidth="1"/>
    <col min="12" max="12" width="5" style="128" customWidth="1"/>
    <col min="13" max="13" width="9.109375" style="128"/>
    <col min="14" max="14" width="18" style="128" customWidth="1"/>
    <col min="15" max="15" width="73.33203125" style="128" customWidth="1"/>
    <col min="16" max="16384" width="9.109375" style="128"/>
  </cols>
  <sheetData>
    <row r="1" spans="1:15" ht="21.6" x14ac:dyDescent="0.25">
      <c r="A1" s="125" t="s">
        <v>245</v>
      </c>
      <c r="B1" s="126"/>
      <c r="C1" s="127"/>
      <c r="D1" s="127"/>
      <c r="E1" s="126"/>
      <c r="F1" s="126"/>
      <c r="G1" s="126"/>
      <c r="H1" s="126"/>
      <c r="K1" s="126"/>
      <c r="L1" s="126"/>
      <c r="M1" s="126"/>
      <c r="N1" s="126"/>
      <c r="O1" s="126"/>
    </row>
    <row r="2" spans="1:15" x14ac:dyDescent="0.25">
      <c r="A2" s="128" t="s">
        <v>585</v>
      </c>
      <c r="B2" s="129"/>
      <c r="C2" s="140"/>
      <c r="D2" s="130"/>
    </row>
    <row r="3" spans="1:15" x14ac:dyDescent="0.25">
      <c r="B3" s="129"/>
      <c r="C3" s="140"/>
      <c r="D3" s="130"/>
    </row>
    <row r="4" spans="1:15" ht="21.6" x14ac:dyDescent="0.25">
      <c r="A4" s="132" t="s">
        <v>112</v>
      </c>
      <c r="B4" s="129"/>
      <c r="C4" s="140"/>
      <c r="D4" s="130"/>
    </row>
    <row r="5" spans="1:15" x14ac:dyDescent="0.25">
      <c r="A5" s="128" t="s">
        <v>419</v>
      </c>
      <c r="B5" s="129"/>
      <c r="C5" s="140"/>
      <c r="D5" s="130"/>
    </row>
    <row r="6" spans="1:15" x14ac:dyDescent="0.25">
      <c r="B6" s="129"/>
      <c r="C6" s="140"/>
      <c r="D6" s="130"/>
    </row>
    <row r="7" spans="1:15" x14ac:dyDescent="0.25">
      <c r="A7" s="134" t="s">
        <v>272</v>
      </c>
      <c r="B7" s="129" t="s">
        <v>622</v>
      </c>
      <c r="C7" s="140"/>
      <c r="D7" s="130"/>
    </row>
    <row r="8" spans="1:15" x14ac:dyDescent="0.25">
      <c r="A8" s="134"/>
      <c r="B8" s="129" t="s">
        <v>621</v>
      </c>
      <c r="C8" s="140"/>
      <c r="D8" s="130"/>
    </row>
    <row r="9" spans="1:15" x14ac:dyDescent="0.25">
      <c r="B9" s="129" t="s">
        <v>623</v>
      </c>
      <c r="C9" s="128"/>
    </row>
    <row r="10" spans="1:15" x14ac:dyDescent="0.25">
      <c r="B10" s="129" t="s">
        <v>624</v>
      </c>
    </row>
    <row r="11" spans="1:15" x14ac:dyDescent="0.3">
      <c r="A11" s="129"/>
      <c r="B11" s="28" t="s">
        <v>601</v>
      </c>
      <c r="C11" s="31"/>
    </row>
    <row r="12" spans="1:15" x14ac:dyDescent="0.25">
      <c r="A12" s="129"/>
      <c r="B12" s="129"/>
    </row>
    <row r="13" spans="1:15" x14ac:dyDescent="0.25">
      <c r="A13" s="134" t="s">
        <v>273</v>
      </c>
      <c r="B13" s="129" t="s">
        <v>635</v>
      </c>
    </row>
    <row r="14" spans="1:15" x14ac:dyDescent="0.25">
      <c r="B14" s="129" t="s">
        <v>413</v>
      </c>
    </row>
    <row r="15" spans="1:15" x14ac:dyDescent="0.25">
      <c r="B15" s="129" t="s">
        <v>648</v>
      </c>
    </row>
    <row r="16" spans="1:15" x14ac:dyDescent="0.25">
      <c r="B16" s="129" t="s">
        <v>649</v>
      </c>
    </row>
    <row r="17" spans="1:10" x14ac:dyDescent="0.25">
      <c r="B17" s="129" t="s">
        <v>650</v>
      </c>
    </row>
    <row r="18" spans="1:10" x14ac:dyDescent="0.25">
      <c r="B18" s="129"/>
    </row>
    <row r="19" spans="1:10" x14ac:dyDescent="0.25">
      <c r="A19" s="129" t="s">
        <v>586</v>
      </c>
      <c r="B19" s="129"/>
    </row>
    <row r="20" spans="1:10" x14ac:dyDescent="0.25">
      <c r="A20" s="129"/>
      <c r="B20" s="129"/>
    </row>
    <row r="21" spans="1:10" ht="21.6" x14ac:dyDescent="0.25">
      <c r="A21" s="132" t="s">
        <v>73</v>
      </c>
      <c r="B21" s="129"/>
    </row>
    <row r="22" spans="1:10" ht="18" customHeight="1" x14ac:dyDescent="0.25">
      <c r="A22" s="135" t="s">
        <v>127</v>
      </c>
      <c r="B22" s="135" t="s">
        <v>128</v>
      </c>
      <c r="C22" s="135" t="s">
        <v>129</v>
      </c>
    </row>
    <row r="23" spans="1:10" ht="27" customHeight="1" x14ac:dyDescent="0.25">
      <c r="A23" s="135" t="s">
        <v>76</v>
      </c>
      <c r="B23" s="135" t="s">
        <v>47</v>
      </c>
      <c r="C23" s="135" t="s">
        <v>18</v>
      </c>
    </row>
    <row r="24" spans="1:10" x14ac:dyDescent="0.25">
      <c r="A24" s="213" t="str">
        <f>'Table AA'!A9</f>
        <v>Q1</v>
      </c>
      <c r="B24" s="137" t="str">
        <f>'Table AA'!B9</f>
        <v>What is the annual electrical energy use of the IT power chain in kWh/yr?</v>
      </c>
      <c r="C24" s="308">
        <v>6000000</v>
      </c>
      <c r="F24" s="140"/>
    </row>
    <row r="25" spans="1:10" x14ac:dyDescent="0.25">
      <c r="A25" s="213" t="str">
        <f>'Table AA'!A10</f>
        <v>Q2</v>
      </c>
      <c r="B25" s="137" t="str">
        <f>'Table AA'!B10</f>
        <v>What is the total UPS output load in kW?</v>
      </c>
      <c r="C25" s="308">
        <v>500</v>
      </c>
      <c r="F25" s="140"/>
    </row>
    <row r="26" spans="1:10" x14ac:dyDescent="0.25">
      <c r="A26" s="213" t="str">
        <f>'Table AA'!A11</f>
        <v>Q3</v>
      </c>
      <c r="B26" s="137" t="str">
        <f>'Table AA'!B11</f>
        <v>What is the total load capacity of all active UPS modules in kW?</v>
      </c>
      <c r="C26" s="308">
        <v>750</v>
      </c>
      <c r="F26" s="140"/>
    </row>
    <row r="27" spans="1:10" x14ac:dyDescent="0.25">
      <c r="A27" s="213" t="str">
        <f>'Table AA'!A12</f>
        <v>Q4</v>
      </c>
      <c r="B27" s="137" t="str">
        <f>'Table AA'!B12</f>
        <v>What is the total UPS input load in kW?</v>
      </c>
      <c r="C27" s="308">
        <v>700</v>
      </c>
      <c r="F27" s="140"/>
    </row>
    <row r="28" spans="1:10" x14ac:dyDescent="0.25">
      <c r="A28" s="213" t="str">
        <f>'Table AA'!A13</f>
        <v>Q5</v>
      </c>
      <c r="B28" s="137" t="str">
        <f>'Table AA'!B13</f>
        <v>What is the UPS manufacturer's claimed efficiency at the calculated load factor shown below?</v>
      </c>
      <c r="C28" s="428">
        <v>0</v>
      </c>
      <c r="F28" s="140"/>
    </row>
    <row r="29" spans="1:10" x14ac:dyDescent="0.25">
      <c r="A29" s="213" t="str">
        <f>'Table AA'!A14</f>
        <v>Q6</v>
      </c>
      <c r="B29" s="137" t="str">
        <f>'Table AA'!B14</f>
        <v>What is the annual IT equipment energy use in kWh/yr?</v>
      </c>
      <c r="C29" s="308">
        <v>5000000</v>
      </c>
    </row>
    <row r="30" spans="1:10" x14ac:dyDescent="0.25">
      <c r="A30" s="213" t="str">
        <f>'Table AA'!A15</f>
        <v>Q7</v>
      </c>
      <c r="B30" s="137" t="str">
        <f>'Table AA'!B15</f>
        <v>What is the data center floor area in sq. ft.?</v>
      </c>
      <c r="C30" s="308">
        <v>10000</v>
      </c>
    </row>
    <row r="31" spans="1:10" s="129" customFormat="1" x14ac:dyDescent="0.25">
      <c r="A31" s="213" t="str">
        <f>'Table AA'!A16</f>
        <v>Q8</v>
      </c>
      <c r="B31" s="137" t="str">
        <f>'Table AA'!B16</f>
        <v>What is the total annual lighting energy use in kWh/yr for the facility?</v>
      </c>
      <c r="C31" s="308">
        <v>2750000</v>
      </c>
      <c r="D31" s="131"/>
      <c r="E31" s="128"/>
      <c r="I31" s="354"/>
      <c r="J31" s="354"/>
    </row>
    <row r="32" spans="1:10" s="129" customFormat="1" x14ac:dyDescent="0.25">
      <c r="A32" s="213" t="str">
        <f>'Table AA'!A17</f>
        <v>Q9</v>
      </c>
      <c r="B32" s="137" t="str">
        <f>'Table AA'!B17</f>
        <v>What is the annual average unit cost of electricity in ¢/kWh?</v>
      </c>
      <c r="C32" s="309">
        <v>15</v>
      </c>
      <c r="D32" s="131"/>
      <c r="E32" s="128"/>
      <c r="I32" s="354"/>
      <c r="J32" s="354"/>
    </row>
    <row r="33" spans="1:11" s="129" customFormat="1" x14ac:dyDescent="0.25">
      <c r="A33" s="143"/>
      <c r="B33" s="143"/>
      <c r="C33" s="144"/>
      <c r="D33" s="131"/>
      <c r="E33" s="128"/>
      <c r="I33" s="354"/>
      <c r="J33" s="354"/>
    </row>
    <row r="34" spans="1:11" s="129" customFormat="1" x14ac:dyDescent="0.25">
      <c r="A34" s="143"/>
      <c r="B34" s="143"/>
      <c r="C34" s="144"/>
      <c r="D34" s="131"/>
      <c r="E34" s="128"/>
      <c r="I34" s="354"/>
      <c r="J34" s="354"/>
    </row>
    <row r="35" spans="1:11" s="129" customFormat="1" ht="21.6" x14ac:dyDescent="0.25">
      <c r="A35" s="132" t="s">
        <v>620</v>
      </c>
      <c r="B35" s="128"/>
      <c r="C35" s="128"/>
      <c r="D35" s="131"/>
      <c r="E35" s="128"/>
      <c r="I35" s="354"/>
      <c r="J35" s="354"/>
    </row>
    <row r="36" spans="1:11" s="129" customFormat="1" x14ac:dyDescent="0.25">
      <c r="A36" s="128"/>
      <c r="B36" s="142" t="s">
        <v>665</v>
      </c>
      <c r="C36" s="429">
        <f>IF(C26=0,0,C25/C26)</f>
        <v>0.66666666666666663</v>
      </c>
      <c r="D36" s="131"/>
      <c r="E36" s="128"/>
      <c r="I36" s="354"/>
      <c r="J36" s="354"/>
    </row>
    <row r="37" spans="1:11" s="129" customFormat="1" ht="27.6" x14ac:dyDescent="0.25">
      <c r="A37" s="143"/>
      <c r="B37" s="142" t="s">
        <v>666</v>
      </c>
      <c r="C37" s="430">
        <f>IF(C27&gt;0,C27,IF(C28=0,0,C25/C28))</f>
        <v>700</v>
      </c>
      <c r="D37" s="144"/>
      <c r="E37" s="145"/>
      <c r="I37" s="354"/>
      <c r="J37" s="354"/>
    </row>
    <row r="38" spans="1:11" s="129" customFormat="1" ht="41.4" x14ac:dyDescent="0.25">
      <c r="A38" s="143"/>
      <c r="B38" s="142" t="s">
        <v>667</v>
      </c>
      <c r="C38" s="431">
        <f>IF(AND(C27=0,C28&gt;0),C28,IF(C37=0,0,C25/C37))</f>
        <v>0.7142857142857143</v>
      </c>
      <c r="D38" s="144"/>
      <c r="E38" s="145"/>
      <c r="I38" s="354"/>
      <c r="J38" s="354"/>
    </row>
    <row r="39" spans="1:11" s="129" customFormat="1" ht="41.4" x14ac:dyDescent="0.25">
      <c r="A39" s="143"/>
      <c r="B39" s="142" t="s">
        <v>636</v>
      </c>
      <c r="C39" s="252">
        <f>'Table AA'!D9-'Table AA'!D14</f>
        <v>1000000</v>
      </c>
      <c r="D39" s="144"/>
      <c r="E39" s="145"/>
      <c r="I39" s="354"/>
      <c r="J39" s="354"/>
    </row>
    <row r="40" spans="1:11" s="129" customFormat="1" x14ac:dyDescent="0.25">
      <c r="A40" s="143"/>
      <c r="B40" s="143"/>
      <c r="C40" s="144"/>
      <c r="D40" s="144"/>
      <c r="E40" s="145"/>
      <c r="I40" s="354"/>
      <c r="J40" s="354"/>
    </row>
    <row r="41" spans="1:11" s="129" customFormat="1" x14ac:dyDescent="0.25">
      <c r="A41" s="143"/>
      <c r="B41" s="143"/>
      <c r="C41" s="144"/>
      <c r="D41" s="144"/>
      <c r="E41" s="145"/>
      <c r="I41" s="354"/>
      <c r="J41" s="354"/>
    </row>
    <row r="42" spans="1:11" s="129" customFormat="1" ht="22.2" thickBot="1" x14ac:dyDescent="0.3">
      <c r="A42" s="132" t="s">
        <v>197</v>
      </c>
      <c r="B42" s="143"/>
      <c r="C42" s="144"/>
      <c r="D42" s="144"/>
      <c r="E42" s="145"/>
      <c r="I42" s="354"/>
      <c r="J42" s="354"/>
    </row>
    <row r="43" spans="1:11" s="129" customFormat="1" ht="17.25" customHeight="1" x14ac:dyDescent="0.25">
      <c r="A43" s="146" t="s">
        <v>118</v>
      </c>
      <c r="B43" s="147" t="s">
        <v>119</v>
      </c>
      <c r="C43" s="147" t="s">
        <v>120</v>
      </c>
      <c r="D43" s="366" t="s">
        <v>121</v>
      </c>
      <c r="E43" s="146" t="s">
        <v>122</v>
      </c>
      <c r="F43" s="147" t="s">
        <v>123</v>
      </c>
      <c r="G43" s="147" t="s">
        <v>124</v>
      </c>
      <c r="H43" s="147" t="s">
        <v>125</v>
      </c>
      <c r="I43" s="438" t="s">
        <v>126</v>
      </c>
      <c r="J43" s="438" t="s">
        <v>412</v>
      </c>
      <c r="K43" s="365" t="s">
        <v>411</v>
      </c>
    </row>
    <row r="44" spans="1:11" s="129" customFormat="1" ht="44.25" customHeight="1" thickBot="1" x14ac:dyDescent="0.3">
      <c r="A44" s="148" t="s">
        <v>76</v>
      </c>
      <c r="B44" s="149" t="s">
        <v>47</v>
      </c>
      <c r="C44" s="325" t="s">
        <v>18</v>
      </c>
      <c r="D44" s="151" t="s">
        <v>340</v>
      </c>
      <c r="E44" s="148" t="s">
        <v>102</v>
      </c>
      <c r="F44" s="464" t="s">
        <v>83</v>
      </c>
      <c r="G44" s="464"/>
      <c r="H44" s="149" t="s">
        <v>101</v>
      </c>
      <c r="I44" s="355" t="s">
        <v>409</v>
      </c>
      <c r="J44" s="355" t="s">
        <v>410</v>
      </c>
      <c r="K44" s="150" t="s">
        <v>105</v>
      </c>
    </row>
    <row r="45" spans="1:11" s="129" customFormat="1" ht="29.25" customHeight="1" thickBot="1" x14ac:dyDescent="0.3">
      <c r="A45" s="384" t="str">
        <f>'Table BB'!A15</f>
        <v>Q23</v>
      </c>
      <c r="B45" s="156" t="str">
        <f>'Table BB'!B15</f>
        <v xml:space="preserve">What is the building power factor? </v>
      </c>
      <c r="C45" s="310" t="s">
        <v>2</v>
      </c>
      <c r="D45" s="160" t="str">
        <f>IF(C45='Table BB'!L15,'Table BB'!L16,"")</f>
        <v/>
      </c>
      <c r="E45" s="161" t="str">
        <f>IF(C45='Table BB'!L15,"Not yet",IF(C45='Table BB'!H15,"Yes","No"))</f>
        <v>Yes</v>
      </c>
      <c r="F45" s="157">
        <v>1</v>
      </c>
      <c r="G45" s="158" t="str">
        <f>IF(C45='Table BB'!H15,'Table BB'!H16,"N/A")</f>
        <v>Maintain Power Factor at Main Feeder Panel at 0.90 or Higher.</v>
      </c>
      <c r="H45" s="307" t="s">
        <v>625</v>
      </c>
      <c r="I45" s="356" t="str">
        <f t="shared" ref="I45:I63" si="0">IF(AND(NOT(G45="N/A"),H45="Yes"),"Yes","No")</f>
        <v>Yes</v>
      </c>
      <c r="J45" s="359" t="str">
        <f t="shared" ref="J45:J63" si="1">IF(AND(G45="N/A",NOT(H45="N/A")),"Yes","No")</f>
        <v>No</v>
      </c>
      <c r="K45" s="159" t="str">
        <f>IF(J45="Yes","A potential action has not been presented yet.","")</f>
        <v/>
      </c>
    </row>
    <row r="46" spans="1:11" s="129" customFormat="1" ht="29.25" customHeight="1" thickBot="1" x14ac:dyDescent="0.3">
      <c r="A46" s="384" t="str">
        <f>'Table BB'!A21</f>
        <v>Q24</v>
      </c>
      <c r="B46" s="156" t="str">
        <f>'Table BB'!B21</f>
        <v>What is the building total harmonic current distortion (THD) at main feeder panel?</v>
      </c>
      <c r="C46" s="310" t="s">
        <v>3</v>
      </c>
      <c r="D46" s="160" t="str">
        <f>IF(C46='Table BB'!L21,'Table BB'!L22,"")</f>
        <v/>
      </c>
      <c r="E46" s="161" t="str">
        <f>IF(C46='Table BB'!L21,"Not yet",IF(C46='Table BB'!H21,"Yes","No"))</f>
        <v>Yes</v>
      </c>
      <c r="F46" s="157">
        <v>1</v>
      </c>
      <c r="G46" s="158" t="str">
        <f>IF(C46='Table BB'!H21,'Table BB'!H22,"N/A")</f>
        <v>Maintain Total Harmonic Distortion at Main Feeder Panel at 5% or Less.</v>
      </c>
      <c r="H46" s="307" t="s">
        <v>625</v>
      </c>
      <c r="I46" s="356" t="str">
        <f t="shared" si="0"/>
        <v>Yes</v>
      </c>
      <c r="J46" s="359" t="str">
        <f t="shared" si="1"/>
        <v>No</v>
      </c>
      <c r="K46" s="159" t="str">
        <f>IF(J46="Yes","A potential action has not been presented yet.","")</f>
        <v/>
      </c>
    </row>
    <row r="47" spans="1:11" s="129" customFormat="1" ht="43.5" customHeight="1" thickBot="1" x14ac:dyDescent="0.3">
      <c r="A47" s="384" t="str">
        <f>'Table BB'!A27</f>
        <v>Q25</v>
      </c>
      <c r="B47" s="156" t="str">
        <f>'Table BB'!B27</f>
        <v>Are the loads balanced between all phases for the transformers, UPSs, and PDUs?</v>
      </c>
      <c r="C47" s="310" t="s">
        <v>408</v>
      </c>
      <c r="D47" s="160" t="str">
        <f>IF(C47='Table BB'!L27,'Table BB'!L28,"")</f>
        <v/>
      </c>
      <c r="E47" s="161" t="str">
        <f>IF(C47='Table BB'!L27,"Not yet",IF(C47='Table BB'!H27,"Yes","No"))</f>
        <v>Yes</v>
      </c>
      <c r="F47" s="157">
        <v>1</v>
      </c>
      <c r="G47" s="158" t="str">
        <f>IF(C47='Table BB'!H27,'Table BB'!H28,"N/A")</f>
        <v>Maintain Balanced Loads Between Phases.</v>
      </c>
      <c r="H47" s="307" t="s">
        <v>625</v>
      </c>
      <c r="I47" s="356" t="str">
        <f t="shared" si="0"/>
        <v>Yes</v>
      </c>
      <c r="J47" s="359" t="str">
        <f t="shared" si="1"/>
        <v>No</v>
      </c>
      <c r="K47" s="159" t="str">
        <f>IF(J47="Yes","A potential action has not been presented yet.","")</f>
        <v/>
      </c>
    </row>
    <row r="48" spans="1:11" s="129" customFormat="1" ht="29.25" customHeight="1" thickBot="1" x14ac:dyDescent="0.3">
      <c r="A48" s="384" t="str">
        <f>'Table BB'!A33</f>
        <v>Q26</v>
      </c>
      <c r="B48" s="156" t="str">
        <f>'Table BB'!B33</f>
        <v>What is the age and type of the main transformer serving the IT power chain?</v>
      </c>
      <c r="C48" s="310" t="s">
        <v>288</v>
      </c>
      <c r="D48" s="160" t="str">
        <f>IF(C48='Table BB'!L33,'Table BB'!L34,"")</f>
        <v/>
      </c>
      <c r="E48" s="161" t="str">
        <f>IF(C48='Table BB'!L33,"Not yet",IF(OR(C48='Table BB'!H33,C48='Table BB'!I33,C48='Table BB'!J33),"Yes","No"))</f>
        <v>Yes</v>
      </c>
      <c r="F48" s="157">
        <v>1</v>
      </c>
      <c r="G48" s="162" t="str">
        <f>IF(C48='Table BB'!H33,'Table BB'!H34,IF(C48='Table BB'!I33,'Table BB'!I34,IF(C48='Table BB'!J33,'Table BB'!J34,"N/A")))</f>
        <v>Use High Efficiency MV and LV Transformers.</v>
      </c>
      <c r="H48" s="307" t="s">
        <v>625</v>
      </c>
      <c r="I48" s="356" t="str">
        <f t="shared" si="0"/>
        <v>Yes</v>
      </c>
      <c r="J48" s="359" t="str">
        <f t="shared" si="1"/>
        <v>No</v>
      </c>
      <c r="K48" s="159" t="str">
        <f>IF(J48="Yes","A potential action has not been presented yet.","")</f>
        <v/>
      </c>
    </row>
    <row r="49" spans="1:13" ht="27" customHeight="1" x14ac:dyDescent="0.25">
      <c r="A49" s="468" t="str">
        <f>'Table BB'!A40</f>
        <v>Q27</v>
      </c>
      <c r="B49" s="471" t="str">
        <f>'Table BB'!B40</f>
        <v>Is there an active UPS?</v>
      </c>
      <c r="C49" s="474" t="s">
        <v>295</v>
      </c>
      <c r="D49" s="458" t="str">
        <f>IF(C49='Table BB'!L40,'Table BB'!L41,"")</f>
        <v/>
      </c>
      <c r="E49" s="465" t="str">
        <f>IF(OR(C38=0,C38&gt;'Table BB'!H40),"No","Yes")</f>
        <v>Yes</v>
      </c>
      <c r="F49" s="152">
        <v>1</v>
      </c>
      <c r="G49" s="153" t="str">
        <f>IF(E49="Yes",'Table BB'!H41,"N/A")</f>
        <v>Shut Down UPS Modules when Redundancy Level is High Enough.</v>
      </c>
      <c r="H49" s="176" t="s">
        <v>625</v>
      </c>
      <c r="I49" s="356" t="str">
        <f t="shared" si="0"/>
        <v>Yes</v>
      </c>
      <c r="J49" s="359" t="str">
        <f t="shared" si="1"/>
        <v>No</v>
      </c>
      <c r="K49" s="154" t="str">
        <f>IF(AND(G49="N/A",NOT(H49="N/A")),"Potential action 1 of 4 has not been presented yet.","")</f>
        <v/>
      </c>
      <c r="L49" s="129"/>
      <c r="M49" s="129"/>
    </row>
    <row r="50" spans="1:13" x14ac:dyDescent="0.25">
      <c r="A50" s="469"/>
      <c r="B50" s="472"/>
      <c r="C50" s="475"/>
      <c r="D50" s="459"/>
      <c r="E50" s="466"/>
      <c r="F50" s="136">
        <v>2</v>
      </c>
      <c r="G50" s="142" t="str">
        <f>IF(E49="Yes",'Table BB'!H42,"N/A")</f>
        <v>Install a Modular UPS.</v>
      </c>
      <c r="H50" s="177" t="s">
        <v>625</v>
      </c>
      <c r="I50" s="357" t="str">
        <f t="shared" si="0"/>
        <v>Yes</v>
      </c>
      <c r="J50" s="360" t="str">
        <f t="shared" si="1"/>
        <v>No</v>
      </c>
      <c r="K50" s="367" t="str">
        <f>IF(AND(G50="N/A",NOT(H50="N/A")),"Potential action 2 of 4 has not been presented yet.","")</f>
        <v/>
      </c>
      <c r="L50" s="129"/>
    </row>
    <row r="51" spans="1:13" x14ac:dyDescent="0.25">
      <c r="A51" s="469"/>
      <c r="B51" s="472"/>
      <c r="C51" s="475"/>
      <c r="D51" s="459"/>
      <c r="E51" s="466"/>
      <c r="F51" s="136">
        <v>3</v>
      </c>
      <c r="G51" s="142" t="str">
        <f>IF(E49="Yes",'Table BB'!H43,"N/A")</f>
        <v>Right-Size the UPS.</v>
      </c>
      <c r="H51" s="177" t="s">
        <v>625</v>
      </c>
      <c r="I51" s="357" t="str">
        <f t="shared" si="0"/>
        <v>Yes</v>
      </c>
      <c r="J51" s="360" t="str">
        <f t="shared" si="1"/>
        <v>No</v>
      </c>
      <c r="K51" s="367" t="str">
        <f>IF(AND(G51="N/A",NOT(H51="N/A")),"Potential action 3 of 4 has not been presented yet.","")</f>
        <v/>
      </c>
      <c r="L51" s="129"/>
    </row>
    <row r="52" spans="1:13" ht="14.4" thickBot="1" x14ac:dyDescent="0.3">
      <c r="A52" s="470"/>
      <c r="B52" s="473"/>
      <c r="C52" s="476"/>
      <c r="D52" s="460"/>
      <c r="E52" s="467"/>
      <c r="F52" s="136">
        <v>4</v>
      </c>
      <c r="G52" s="435" t="str">
        <f>IF(E49="Yes",'Table BB'!H44,"N/A")</f>
        <v>Replace the UPS with a More Efficient Unit.</v>
      </c>
      <c r="H52" s="178" t="s">
        <v>625</v>
      </c>
      <c r="I52" s="358" t="str">
        <f>IF(AND(NOT(G52="N/A"),H52="Yes"),"Yes","No")</f>
        <v>Yes</v>
      </c>
      <c r="J52" s="361" t="str">
        <f>IF(AND(G52="N/A",NOT(H52="N/A")),"Yes","No")</f>
        <v>No</v>
      </c>
      <c r="K52" s="367" t="str">
        <f>IF(AND(G52="N/A",NOT(H52="N/A")),"Potential action 4 of 4 has not been presented yet.","")</f>
        <v/>
      </c>
      <c r="L52" s="129"/>
    </row>
    <row r="53" spans="1:13" ht="29.25" customHeight="1" thickBot="1" x14ac:dyDescent="0.3">
      <c r="A53" s="384" t="str">
        <f>'Table BB'!A52</f>
        <v>Q28</v>
      </c>
      <c r="B53" s="156" t="str">
        <f>'Table BB'!B52</f>
        <v>Is the UPS operating in eco-mode?</v>
      </c>
      <c r="C53" s="310" t="s">
        <v>294</v>
      </c>
      <c r="D53" s="160" t="str">
        <f>IF(C53='Table BB'!L52,'Table BB'!L53,"")</f>
        <v/>
      </c>
      <c r="E53" s="161" t="str">
        <f>IF(C53='Table BB'!L52,"Not yet",IF(C53='Table BB'!H52,"Yes","No"))</f>
        <v>Yes</v>
      </c>
      <c r="F53" s="436">
        <v>1</v>
      </c>
      <c r="G53" s="158" t="str">
        <f>IF(E53="Yes",'Table BB'!H53,"N/A")</f>
        <v>Implement a Switching UPS</v>
      </c>
      <c r="H53" s="307" t="s">
        <v>625</v>
      </c>
      <c r="I53" s="356" t="str">
        <f t="shared" si="0"/>
        <v>Yes</v>
      </c>
      <c r="J53" s="359" t="str">
        <f t="shared" si="1"/>
        <v>No</v>
      </c>
      <c r="K53" s="159" t="str">
        <f t="shared" ref="K53:K63" si="2">IF(J53="Yes","A potential action has not been presented yet.","")</f>
        <v/>
      </c>
      <c r="L53" s="129"/>
    </row>
    <row r="54" spans="1:13" ht="36" customHeight="1" thickBot="1" x14ac:dyDescent="0.3">
      <c r="A54" s="384" t="str">
        <f>'Table BB'!A58</f>
        <v>Q29</v>
      </c>
      <c r="B54" s="156" t="str">
        <f>'Table BB'!B58</f>
        <v>Are the UPS DC capacitors &gt;5 years old?</v>
      </c>
      <c r="C54" s="310" t="s">
        <v>295</v>
      </c>
      <c r="D54" s="160" t="str">
        <f>IF(C54='Table BB'!L58,'Table BB'!L59,"")</f>
        <v/>
      </c>
      <c r="E54" s="161" t="str">
        <f>IF(C54='Table BB'!L58,"Not yet",IF(C54='Table BB'!H58,"Yes","No"))</f>
        <v>Yes</v>
      </c>
      <c r="F54" s="157">
        <v>1</v>
      </c>
      <c r="G54" s="158" t="str">
        <f>IF(C54='Table BB'!H58,'Table BB'!H59,"N/A")</f>
        <v>Change UPS DC Capacitors.</v>
      </c>
      <c r="H54" s="307" t="s">
        <v>625</v>
      </c>
      <c r="I54" s="356" t="str">
        <f t="shared" si="0"/>
        <v>Yes</v>
      </c>
      <c r="J54" s="359" t="str">
        <f t="shared" si="1"/>
        <v>No</v>
      </c>
      <c r="K54" s="159" t="str">
        <f t="shared" si="2"/>
        <v/>
      </c>
      <c r="L54" s="129"/>
    </row>
    <row r="55" spans="1:13" ht="39.75" customHeight="1" thickBot="1" x14ac:dyDescent="0.3">
      <c r="A55" s="384" t="str">
        <f>'Table BB'!A64</f>
        <v>Q30</v>
      </c>
      <c r="B55" s="156" t="str">
        <f>'Table BB'!B64</f>
        <v>What is the power source for non-critical loads?</v>
      </c>
      <c r="C55" s="310" t="s">
        <v>296</v>
      </c>
      <c r="D55" s="160" t="str">
        <f>IF(C55='Table BB'!L64,'Table BB'!L65,"")</f>
        <v/>
      </c>
      <c r="E55" s="161" t="str">
        <f>IF(C55='Table BB'!L64,"Not yet",IF(C55='Table BB'!H64,"Yes","No"))</f>
        <v>Yes</v>
      </c>
      <c r="F55" s="157">
        <v>1</v>
      </c>
      <c r="G55" s="158" t="str">
        <f>IF(C55='Table BB'!H64,'Table BB'!H65,"N/A")</f>
        <v>Ensure Non-Critical Loads are Not Connected to the UPS.</v>
      </c>
      <c r="H55" s="307" t="s">
        <v>625</v>
      </c>
      <c r="I55" s="356" t="str">
        <f t="shared" si="0"/>
        <v>Yes</v>
      </c>
      <c r="J55" s="359" t="str">
        <f t="shared" si="1"/>
        <v>No</v>
      </c>
      <c r="K55" s="159" t="str">
        <f t="shared" si="2"/>
        <v/>
      </c>
      <c r="L55" s="129"/>
    </row>
    <row r="56" spans="1:13" ht="55.5" customHeight="1" thickBot="1" x14ac:dyDescent="0.3">
      <c r="A56" s="384" t="str">
        <f>'Table BB'!A70</f>
        <v>Q31</v>
      </c>
      <c r="B56" s="156" t="str">
        <f>'Table BB'!B70</f>
        <v>What is the age and type of the transformers in the PDUs?</v>
      </c>
      <c r="C56" s="310" t="s">
        <v>288</v>
      </c>
      <c r="D56" s="160" t="str">
        <f>IF(C56='Table BB'!L70,'Table BB'!L71,"")</f>
        <v/>
      </c>
      <c r="E56" s="161" t="str">
        <f>IF(C56='Table BB'!L70,"Not yet",IF(OR(C56='Table BB'!H70,C56='Table BB'!I70,C56='Table BB'!J70),"Yes","No"))</f>
        <v>Yes</v>
      </c>
      <c r="F56" s="157">
        <v>1</v>
      </c>
      <c r="G56" s="162" t="str">
        <f>IF(C56='Table BB'!H70,'Table BB'!H71,IF(C56='Table BB'!I70,'Table BB'!I71,IF(C56='Table BB'!J70,'Table BB'!J71,"N/A")))</f>
        <v>Use High Efficiency MV and LV Transformers.</v>
      </c>
      <c r="H56" s="307" t="s">
        <v>625</v>
      </c>
      <c r="I56" s="356" t="str">
        <f t="shared" si="0"/>
        <v>Yes</v>
      </c>
      <c r="J56" s="359" t="str">
        <f t="shared" si="1"/>
        <v>No</v>
      </c>
      <c r="K56" s="159" t="str">
        <f t="shared" si="2"/>
        <v/>
      </c>
      <c r="L56" s="129"/>
    </row>
    <row r="57" spans="1:13" ht="39.75" customHeight="1" thickBot="1" x14ac:dyDescent="0.3">
      <c r="A57" s="385" t="str">
        <f>'Table BB'!A77</f>
        <v>Q32</v>
      </c>
      <c r="B57" s="313" t="str">
        <f>'Table BB'!B77</f>
        <v>What is the average load factor for the active PDUs that contain transformers?</v>
      </c>
      <c r="C57" s="332" t="s">
        <v>14</v>
      </c>
      <c r="D57" s="314" t="str">
        <f>IF(C57='Table BB'!L77,'Table BB'!L78,"")</f>
        <v/>
      </c>
      <c r="E57" s="312" t="str">
        <f>IF(C57='Table BB'!L77,"Not yet",IF(OR(C57='Table BB'!H77,C57='Table BB'!I77),"Yes","No"))</f>
        <v>Yes</v>
      </c>
      <c r="F57" s="152">
        <v>1</v>
      </c>
      <c r="G57" s="163" t="str">
        <f>IF(C57='Table BB'!H77,'Table BB'!H78,IF(C57='Table BB'!I77,'Table BB'!I78,"N/A"))</f>
        <v>Consolidate Transformer Loads</v>
      </c>
      <c r="H57" s="176" t="s">
        <v>625</v>
      </c>
      <c r="I57" s="356" t="str">
        <f t="shared" si="0"/>
        <v>Yes</v>
      </c>
      <c r="J57" s="359" t="str">
        <f t="shared" si="1"/>
        <v>No</v>
      </c>
      <c r="K57" s="159" t="str">
        <f t="shared" si="2"/>
        <v/>
      </c>
      <c r="L57" s="129"/>
    </row>
    <row r="58" spans="1:13" ht="26.25" customHeight="1" thickBot="1" x14ac:dyDescent="0.3">
      <c r="A58" s="384" t="str">
        <f>'Table BB'!A83</f>
        <v>Q33</v>
      </c>
      <c r="B58" s="156" t="str">
        <f>'Table BB'!B83</f>
        <v>What is the IT equipment power factor?</v>
      </c>
      <c r="C58" s="310" t="s">
        <v>2</v>
      </c>
      <c r="D58" s="160" t="str">
        <f>IF(C58='Table BB'!L83,'Table BB'!L84,"")</f>
        <v/>
      </c>
      <c r="E58" s="161" t="str">
        <f>IF(C58='Table BB'!L83,"Not yet",IF(C58='Table BB'!H83,"Yes","No"))</f>
        <v>Yes</v>
      </c>
      <c r="F58" s="157">
        <v>1</v>
      </c>
      <c r="G58" s="158" t="str">
        <f>IF(C58='Table BB'!H83,'Table BB'!H84,"N/A")</f>
        <v>Retrofit IT Equipment to Maintain High Power Factor and Low Total Harmonic Distortion.</v>
      </c>
      <c r="H58" s="307" t="s">
        <v>625</v>
      </c>
      <c r="I58" s="356" t="str">
        <f t="shared" si="0"/>
        <v>Yes</v>
      </c>
      <c r="J58" s="359" t="str">
        <f t="shared" si="1"/>
        <v>No</v>
      </c>
      <c r="K58" s="159" t="str">
        <f t="shared" si="2"/>
        <v/>
      </c>
      <c r="L58" s="129"/>
    </row>
    <row r="59" spans="1:13" ht="27.75" customHeight="1" thickBot="1" x14ac:dyDescent="0.3">
      <c r="A59" s="384" t="str">
        <f>'Table BB'!A89</f>
        <v>Q34</v>
      </c>
      <c r="B59" s="156" t="str">
        <f>'Table BB'!B89</f>
        <v>What is the power source for the IT racks?</v>
      </c>
      <c r="C59" s="310" t="s">
        <v>298</v>
      </c>
      <c r="D59" s="160" t="str">
        <f>IF(C59='Table BB'!L89,'Table BB'!L90,"")</f>
        <v/>
      </c>
      <c r="E59" s="161" t="str">
        <f>IF(C59='Table BB'!L89,"Not yet",IF(C59='Table BB'!H89,"Yes","No"))</f>
        <v>Yes</v>
      </c>
      <c r="F59" s="157">
        <v>1</v>
      </c>
      <c r="G59" s="158" t="str">
        <f>IF(C59='Table BB'!H89,'Table BB'!H90,"N/A")</f>
        <v>Supply DC Voltage to IT Rack.</v>
      </c>
      <c r="H59" s="307" t="s">
        <v>625</v>
      </c>
      <c r="I59" s="356" t="str">
        <f t="shared" si="0"/>
        <v>Yes</v>
      </c>
      <c r="J59" s="359" t="str">
        <f t="shared" si="1"/>
        <v>No</v>
      </c>
      <c r="K59" s="159" t="str">
        <f t="shared" si="2"/>
        <v/>
      </c>
      <c r="L59" s="129"/>
    </row>
    <row r="60" spans="1:13" ht="28.5" customHeight="1" thickBot="1" x14ac:dyDescent="0.3">
      <c r="A60" s="384" t="str">
        <f>'Table BB'!A95</f>
        <v>Q35</v>
      </c>
      <c r="B60" s="156" t="str">
        <f>'Table BB'!B95</f>
        <v>What is the power source for the emergency generator block heater(s)?</v>
      </c>
      <c r="C60" s="310" t="s">
        <v>292</v>
      </c>
      <c r="D60" s="160" t="str">
        <f>IF(C60='Table BB'!L95,'Table BB'!L96,"")</f>
        <v/>
      </c>
      <c r="E60" s="161" t="str">
        <f>IF(C60='Table BB'!L95,"Not yet",IF(C60='Table BB'!H95,"Yes","No"))</f>
        <v>Yes</v>
      </c>
      <c r="F60" s="157">
        <v>1</v>
      </c>
      <c r="G60" s="158" t="str">
        <f>IF(C60='Table BB'!H95,'Table BB'!H96,"N/A")</f>
        <v>Use Alternate Power Source to Warm Generator Blocks.</v>
      </c>
      <c r="H60" s="307" t="s">
        <v>625</v>
      </c>
      <c r="I60" s="356" t="str">
        <f t="shared" si="0"/>
        <v>Yes</v>
      </c>
      <c r="J60" s="359" t="str">
        <f t="shared" si="1"/>
        <v>No</v>
      </c>
      <c r="K60" s="159" t="str">
        <f t="shared" si="2"/>
        <v/>
      </c>
      <c r="L60" s="129"/>
    </row>
    <row r="61" spans="1:13" ht="28.2" thickBot="1" x14ac:dyDescent="0.3">
      <c r="A61" s="384" t="str">
        <f>'Table BB'!A101</f>
        <v>Q36</v>
      </c>
      <c r="B61" s="156" t="str">
        <f>'Table BB'!B101</f>
        <v>Does the block heater(s)/heater water jacket for emergency generator(s) operate with thermostat control?</v>
      </c>
      <c r="C61" s="310" t="s">
        <v>294</v>
      </c>
      <c r="D61" s="160" t="str">
        <f>IF(C61='Table BB'!L101,'Table BB'!L102,"")</f>
        <v/>
      </c>
      <c r="E61" s="161" t="str">
        <f>IF(C61='Table BB'!L101,"Not yet",IF(C61='Table BB'!H101,"Yes","No"))</f>
        <v>Yes</v>
      </c>
      <c r="F61" s="157">
        <v>1</v>
      </c>
      <c r="G61" s="158" t="str">
        <f>IF(C61='Table BB'!H101,'Table BB'!H102,"N/A")</f>
        <v>Apply Thermostat Control to Generator Block Heaters.</v>
      </c>
      <c r="H61" s="307" t="s">
        <v>625</v>
      </c>
      <c r="I61" s="356" t="str">
        <f t="shared" si="0"/>
        <v>Yes</v>
      </c>
      <c r="J61" s="359" t="str">
        <f t="shared" si="1"/>
        <v>No</v>
      </c>
      <c r="K61" s="159" t="str">
        <f t="shared" si="2"/>
        <v/>
      </c>
      <c r="L61" s="129"/>
    </row>
    <row r="62" spans="1:13" ht="18.75" customHeight="1" x14ac:dyDescent="0.25">
      <c r="A62" s="449" t="str">
        <f>'Table BB'!A107</f>
        <v>Q37</v>
      </c>
      <c r="B62" s="452" t="str">
        <f>'Table BB'!B107</f>
        <v>Is the data center lighting well-designed?</v>
      </c>
      <c r="C62" s="455" t="s">
        <v>363</v>
      </c>
      <c r="D62" s="458" t="str">
        <f>IF(C62='Table BB'!L107,'Table BB'!L108,"")</f>
        <v/>
      </c>
      <c r="E62" s="461" t="str">
        <f>IF(C62='Table BB'!L107,"Not yet",IF(C62='Table BB'!H107,"Yes","No"))</f>
        <v>Yes</v>
      </c>
      <c r="F62" s="152">
        <v>1</v>
      </c>
      <c r="G62" s="153" t="str">
        <f>IF(C62='Table BB'!H107,'Table BB'!H108,"N/A")</f>
        <v>Illuminate Work Areas Only.</v>
      </c>
      <c r="H62" s="176" t="s">
        <v>625</v>
      </c>
      <c r="I62" s="356" t="str">
        <f t="shared" si="0"/>
        <v>Yes</v>
      </c>
      <c r="J62" s="359" t="str">
        <f t="shared" si="1"/>
        <v>No</v>
      </c>
      <c r="K62" s="154" t="str">
        <f t="shared" si="2"/>
        <v/>
      </c>
      <c r="L62" s="129"/>
    </row>
    <row r="63" spans="1:13" ht="28.5" customHeight="1" thickBot="1" x14ac:dyDescent="0.3">
      <c r="A63" s="451"/>
      <c r="B63" s="454"/>
      <c r="C63" s="457"/>
      <c r="D63" s="460"/>
      <c r="E63" s="463"/>
      <c r="F63" s="155">
        <v>2</v>
      </c>
      <c r="G63" s="349" t="str">
        <f>IF(C62='Table BB'!H107,'Table BB'!H109,"N/A")</f>
        <v>Coordinate Light Fixture Placement with IT Equipment Placement.</v>
      </c>
      <c r="H63" s="178" t="s">
        <v>625</v>
      </c>
      <c r="I63" s="358" t="str">
        <f t="shared" si="0"/>
        <v>Yes</v>
      </c>
      <c r="J63" s="361" t="str">
        <f t="shared" si="1"/>
        <v>No</v>
      </c>
      <c r="K63" s="350" t="str">
        <f t="shared" si="2"/>
        <v/>
      </c>
      <c r="L63" s="129"/>
    </row>
    <row r="64" spans="1:13" ht="32.25" customHeight="1" x14ac:dyDescent="0.25">
      <c r="A64" s="468" t="str">
        <f>'Table BB'!A113</f>
        <v>Q38</v>
      </c>
      <c r="B64" s="471" t="str">
        <f>'Table BB'!B113</f>
        <v>How are the lights controlled in the data center?</v>
      </c>
      <c r="C64" s="455" t="s">
        <v>365</v>
      </c>
      <c r="D64" s="458" t="str">
        <f>IF(C64='Table BB'!L113,'Table BB'!L114,"")</f>
        <v/>
      </c>
      <c r="E64" s="461" t="str">
        <f>IF(C64='Table BB'!L113,"Not yet",IF(OR(C64='Table BB'!H113,C64='Table BB'!I113,C64='Table BB'!J113),"Yes","No"))</f>
        <v>Yes</v>
      </c>
      <c r="F64" s="152">
        <v>1</v>
      </c>
      <c r="G64" s="323" t="str">
        <f>IF(C64='Table BB'!H113,'Table BB'!H114,IF(C64='Table BB'!I113,'Table BB'!I114,IF(C64='Table BB'!J113,'Table BB'!J114,"N/A")))</f>
        <v>Control Lighting with a Timeclock.</v>
      </c>
      <c r="H64" s="176" t="s">
        <v>630</v>
      </c>
      <c r="I64" s="356" t="str">
        <f t="shared" ref="I64:I69" si="3">IF(AND(NOT(G64="N/A"),H64="Yes"),"Yes","No")</f>
        <v>No</v>
      </c>
      <c r="J64" s="359" t="str">
        <f t="shared" ref="J64:J69" si="4">IF(AND(G64="N/A",NOT(H64="N/A")),"Yes","No")</f>
        <v>No</v>
      </c>
      <c r="K64" s="164" t="str">
        <f>IF(AND(I64="Yes",OR(I65="Yes",I66="Yes")),"These actions are mutually exclusive, select only one.",IF(J64="Yes","Potential action 1 of 3 has not been presented yet.",""))</f>
        <v/>
      </c>
      <c r="L64" s="129"/>
    </row>
    <row r="65" spans="1:15" ht="32.25" customHeight="1" x14ac:dyDescent="0.25">
      <c r="A65" s="469"/>
      <c r="B65" s="472"/>
      <c r="C65" s="456"/>
      <c r="D65" s="459"/>
      <c r="E65" s="462"/>
      <c r="F65" s="136">
        <v>2</v>
      </c>
      <c r="G65" s="324" t="str">
        <f>IF(C64='Table BB'!H113,'Table BB'!H115,IF(C64='Table BB'!I113,'Table BB'!I115,"N/A"))</f>
        <v>Implement Manually Controlled Zone Lighting Control.</v>
      </c>
      <c r="H65" s="321" t="s">
        <v>630</v>
      </c>
      <c r="I65" s="357" t="str">
        <f t="shared" si="3"/>
        <v>No</v>
      </c>
      <c r="J65" s="360" t="str">
        <f t="shared" si="4"/>
        <v>No</v>
      </c>
      <c r="K65" s="351" t="str">
        <f>IF(AND(I65="Yes",OR(I64="Yes",I66="Yes")),"These actions are mutually exclusive, select only one.",IF(J65="Yes","Potential action 2 of 3 has not been presented yet.",""))</f>
        <v/>
      </c>
      <c r="L65" s="129"/>
    </row>
    <row r="66" spans="1:15" ht="31.5" customHeight="1" thickBot="1" x14ac:dyDescent="0.3">
      <c r="A66" s="470"/>
      <c r="B66" s="473"/>
      <c r="C66" s="457"/>
      <c r="D66" s="460"/>
      <c r="E66" s="463"/>
      <c r="F66" s="155">
        <v>3</v>
      </c>
      <c r="G66" s="326" t="str">
        <f>IF(C64='Table BB'!H113,'Table BB'!H116,"N/A")</f>
        <v>Install Occupancy Sensors to Control Lights.</v>
      </c>
      <c r="H66" s="178" t="s">
        <v>625</v>
      </c>
      <c r="I66" s="358" t="str">
        <f t="shared" si="3"/>
        <v>Yes</v>
      </c>
      <c r="J66" s="361" t="str">
        <f t="shared" si="4"/>
        <v>No</v>
      </c>
      <c r="K66" s="165" t="str">
        <f>IF(AND(I66="Yes",OR(I64="Yes",I65="Yes")),"These actions are mutually exclusive, select only one.",IF(J66="Yes","Potential action 3 of 3 has not been presented yet.",""))</f>
        <v/>
      </c>
      <c r="L66" s="129"/>
    </row>
    <row r="67" spans="1:15" ht="27.75" customHeight="1" x14ac:dyDescent="0.25">
      <c r="A67" s="449" t="str">
        <f>'Table BB'!A119</f>
        <v>Q39</v>
      </c>
      <c r="B67" s="452" t="str">
        <f>'Table BB'!B119</f>
        <v>What type of lamps are installed in the data center?</v>
      </c>
      <c r="C67" s="455" t="s">
        <v>358</v>
      </c>
      <c r="D67" s="458" t="str">
        <f>IF(C67='Table BB'!L119,'Table BB'!L120,"")</f>
        <v/>
      </c>
      <c r="E67" s="461" t="str">
        <f>IF(C67='Table BB'!L119,"Not yet",IF(OR(C67='Table BB'!H119,C67='Table BB'!I119,C67='Table BB'!J119),"Yes","No"))</f>
        <v>Yes</v>
      </c>
      <c r="F67" s="152">
        <v>1</v>
      </c>
      <c r="G67" s="323" t="str">
        <f>IF(C67='Table BB'!H119,'Table BB'!H120,IF(C67='Table BB'!I119,'Table BB'!I120,IF(C67='Table BB'!J119,'Table BB'!J120,"N/A")))</f>
        <v>Install Linear Fluorescent T8 Fixtures.</v>
      </c>
      <c r="H67" s="176" t="s">
        <v>630</v>
      </c>
      <c r="I67" s="356" t="str">
        <f t="shared" si="3"/>
        <v>No</v>
      </c>
      <c r="J67" s="359" t="str">
        <f t="shared" si="4"/>
        <v>No</v>
      </c>
      <c r="K67" s="164" t="str">
        <f>IF(AND(I67="Yes",OR(I68="Yes",I69="Yes")),"These actions are mutually exclusive, select only one.",IF(J67="Yes","Potential action 1 of 3 has not been presented yet.",""))</f>
        <v/>
      </c>
      <c r="L67" s="129"/>
    </row>
    <row r="68" spans="1:15" ht="30" customHeight="1" x14ac:dyDescent="0.25">
      <c r="A68" s="450"/>
      <c r="B68" s="453"/>
      <c r="C68" s="456"/>
      <c r="D68" s="459"/>
      <c r="E68" s="462"/>
      <c r="F68" s="136">
        <v>2</v>
      </c>
      <c r="G68" s="324" t="str">
        <f>IF(C67='Table BB'!H119,'Table BB'!H121,IF(C67='Table BB'!I119,'Table BB'!I121,"N/A"))</f>
        <v>Install Linear Fluorescent T5 Fixtures.</v>
      </c>
      <c r="H68" s="321" t="s">
        <v>625</v>
      </c>
      <c r="I68" s="357" t="str">
        <f t="shared" si="3"/>
        <v>Yes</v>
      </c>
      <c r="J68" s="360" t="str">
        <f t="shared" si="4"/>
        <v>No</v>
      </c>
      <c r="K68" s="351" t="str">
        <f>IF(AND(I68="Yes",OR(I67="Yes",I69="Yes")),"These actions are mutually exclusive, select only one.",IF(J68="Yes","Potential action 2 of 3 has not been presented yet.",""))</f>
        <v/>
      </c>
      <c r="L68" s="129"/>
    </row>
    <row r="69" spans="1:15" ht="30" customHeight="1" thickBot="1" x14ac:dyDescent="0.3">
      <c r="A69" s="451"/>
      <c r="B69" s="454"/>
      <c r="C69" s="457"/>
      <c r="D69" s="460"/>
      <c r="E69" s="463"/>
      <c r="F69" s="155">
        <v>3</v>
      </c>
      <c r="G69" s="326" t="str">
        <f>IF(C67='Table BB'!H119,'Table BB'!H122,"N/A")</f>
        <v>Install LED Fixtures.</v>
      </c>
      <c r="H69" s="178" t="s">
        <v>630</v>
      </c>
      <c r="I69" s="358" t="str">
        <f t="shared" si="3"/>
        <v>No</v>
      </c>
      <c r="J69" s="361" t="str">
        <f t="shared" si="4"/>
        <v>No</v>
      </c>
      <c r="K69" s="165" t="str">
        <f>IF(AND(I69="Yes",OR(I67="Yes",I68="Yes")),"These actions are mutually exclusive, select only one.",IF(J69="Yes","Potential action 3 of 3 has not been presented yet.",""))</f>
        <v/>
      </c>
      <c r="L69" s="129"/>
    </row>
    <row r="70" spans="1:15" x14ac:dyDescent="0.25">
      <c r="C70" s="128"/>
      <c r="D70" s="128"/>
      <c r="L70" s="129"/>
    </row>
    <row r="71" spans="1:15" ht="21.6" x14ac:dyDescent="0.25">
      <c r="A71" s="166"/>
      <c r="B71" s="167"/>
      <c r="C71" s="145"/>
      <c r="D71" s="168"/>
      <c r="E71" s="166"/>
      <c r="M71" s="132" t="s">
        <v>130</v>
      </c>
      <c r="N71" s="166"/>
      <c r="O71" s="145"/>
    </row>
    <row r="72" spans="1:15" x14ac:dyDescent="0.25">
      <c r="A72" s="166"/>
      <c r="B72" s="166"/>
      <c r="C72" s="145"/>
      <c r="D72" s="168"/>
      <c r="E72" s="166"/>
      <c r="M72" s="135" t="s">
        <v>172</v>
      </c>
    </row>
    <row r="73" spans="1:15" ht="27.6" x14ac:dyDescent="0.25">
      <c r="D73" s="168"/>
      <c r="M73" s="136" t="s">
        <v>127</v>
      </c>
      <c r="N73" s="169" t="s">
        <v>76</v>
      </c>
      <c r="O73" s="142" t="s">
        <v>638</v>
      </c>
    </row>
    <row r="74" spans="1:15" x14ac:dyDescent="0.25">
      <c r="D74" s="128"/>
      <c r="M74" s="136" t="s">
        <v>128</v>
      </c>
      <c r="N74" s="169" t="s">
        <v>47</v>
      </c>
      <c r="O74" s="142" t="s">
        <v>417</v>
      </c>
    </row>
    <row r="75" spans="1:15" ht="41.4" x14ac:dyDescent="0.25">
      <c r="D75" s="168"/>
      <c r="M75" s="136" t="s">
        <v>129</v>
      </c>
      <c r="N75" s="169" t="s">
        <v>18</v>
      </c>
      <c r="O75" s="142" t="s">
        <v>639</v>
      </c>
    </row>
    <row r="76" spans="1:15" x14ac:dyDescent="0.25">
      <c r="D76" s="168"/>
      <c r="M76" s="166"/>
      <c r="N76" s="166"/>
      <c r="O76" s="145"/>
    </row>
    <row r="77" spans="1:15" x14ac:dyDescent="0.25">
      <c r="D77" s="168"/>
      <c r="M77" s="166"/>
      <c r="N77" s="166"/>
      <c r="O77" s="145"/>
    </row>
    <row r="78" spans="1:15" ht="21.6" x14ac:dyDescent="0.25">
      <c r="D78" s="168"/>
      <c r="M78" s="132" t="s">
        <v>131</v>
      </c>
      <c r="N78" s="166"/>
      <c r="O78" s="145"/>
    </row>
    <row r="79" spans="1:15" x14ac:dyDescent="0.25">
      <c r="D79" s="168"/>
      <c r="M79" s="135" t="s">
        <v>172</v>
      </c>
    </row>
    <row r="80" spans="1:15" x14ac:dyDescent="0.25">
      <c r="D80" s="168"/>
      <c r="M80" s="136" t="s">
        <v>118</v>
      </c>
      <c r="N80" s="170" t="s">
        <v>76</v>
      </c>
      <c r="O80" s="141" t="s">
        <v>637</v>
      </c>
    </row>
    <row r="81" spans="4:15" x14ac:dyDescent="0.25">
      <c r="D81" s="128"/>
      <c r="M81" s="136" t="s">
        <v>119</v>
      </c>
      <c r="N81" s="170" t="s">
        <v>47</v>
      </c>
      <c r="O81" s="142" t="s">
        <v>418</v>
      </c>
    </row>
    <row r="82" spans="4:15" ht="27.6" x14ac:dyDescent="0.25">
      <c r="D82" s="168"/>
      <c r="M82" s="136" t="s">
        <v>120</v>
      </c>
      <c r="N82" s="170" t="s">
        <v>18</v>
      </c>
      <c r="O82" s="142" t="s">
        <v>196</v>
      </c>
    </row>
    <row r="83" spans="4:15" ht="30" customHeight="1" x14ac:dyDescent="0.25">
      <c r="D83" s="168"/>
      <c r="M83" s="136" t="s">
        <v>121</v>
      </c>
      <c r="N83" s="170" t="s">
        <v>103</v>
      </c>
      <c r="O83" s="142" t="s">
        <v>640</v>
      </c>
    </row>
    <row r="84" spans="4:15" ht="82.5" customHeight="1" x14ac:dyDescent="0.25">
      <c r="M84" s="136" t="s">
        <v>122</v>
      </c>
      <c r="N84" s="170" t="s">
        <v>102</v>
      </c>
      <c r="O84" s="142" t="s">
        <v>641</v>
      </c>
    </row>
    <row r="85" spans="4:15" ht="27.6" x14ac:dyDescent="0.25">
      <c r="M85" s="136" t="s">
        <v>123</v>
      </c>
      <c r="N85" s="448" t="s">
        <v>83</v>
      </c>
      <c r="O85" s="142" t="s">
        <v>642</v>
      </c>
    </row>
    <row r="86" spans="4:15" ht="41.4" x14ac:dyDescent="0.25">
      <c r="M86" s="136" t="s">
        <v>124</v>
      </c>
      <c r="N86" s="448"/>
      <c r="O86" s="142" t="s">
        <v>643</v>
      </c>
    </row>
    <row r="87" spans="4:15" ht="27.6" x14ac:dyDescent="0.25">
      <c r="M87" s="136" t="s">
        <v>125</v>
      </c>
      <c r="N87" s="170" t="s">
        <v>101</v>
      </c>
      <c r="O87" s="142" t="s">
        <v>644</v>
      </c>
    </row>
    <row r="88" spans="4:15" ht="27.6" x14ac:dyDescent="0.25">
      <c r="M88" s="136" t="s">
        <v>126</v>
      </c>
      <c r="N88" s="343" t="s">
        <v>409</v>
      </c>
      <c r="O88" s="142" t="s">
        <v>645</v>
      </c>
    </row>
    <row r="89" spans="4:15" ht="27.6" x14ac:dyDescent="0.25">
      <c r="M89" s="136" t="s">
        <v>412</v>
      </c>
      <c r="N89" s="343" t="s">
        <v>410</v>
      </c>
      <c r="O89" s="142" t="s">
        <v>646</v>
      </c>
    </row>
    <row r="90" spans="4:15" ht="69" x14ac:dyDescent="0.25">
      <c r="M90" s="136" t="s">
        <v>411</v>
      </c>
      <c r="N90" s="170" t="s">
        <v>105</v>
      </c>
      <c r="O90" s="142" t="s">
        <v>647</v>
      </c>
    </row>
  </sheetData>
  <sheetProtection selectLockedCells="1"/>
  <mergeCells count="22">
    <mergeCell ref="E62:E63"/>
    <mergeCell ref="A64:A66"/>
    <mergeCell ref="B64:B66"/>
    <mergeCell ref="C64:C66"/>
    <mergeCell ref="D64:D66"/>
    <mergeCell ref="E64:E66"/>
    <mergeCell ref="A62:A63"/>
    <mergeCell ref="B62:B63"/>
    <mergeCell ref="C62:C63"/>
    <mergeCell ref="D62:D63"/>
    <mergeCell ref="F44:G44"/>
    <mergeCell ref="D49:D52"/>
    <mergeCell ref="E49:E52"/>
    <mergeCell ref="A49:A52"/>
    <mergeCell ref="B49:B52"/>
    <mergeCell ref="C49:C52"/>
    <mergeCell ref="N85:N86"/>
    <mergeCell ref="A67:A69"/>
    <mergeCell ref="B67:B69"/>
    <mergeCell ref="C67:C69"/>
    <mergeCell ref="D67:D69"/>
    <mergeCell ref="E67:E69"/>
  </mergeCells>
  <phoneticPr fontId="3" type="noConversion"/>
  <dataValidations xWindow="606" yWindow="362" count="8">
    <dataValidation type="decimal" operator="greaterThanOrEqual" showInputMessage="1" showErrorMessage="1" error="Positive whole number values only" prompt="Please enter your annual average electric rate in cents per kWh." sqref="C32" xr:uid="{00000000-0002-0000-0200-000000000000}">
      <formula1>0</formula1>
    </dataValidation>
    <dataValidation type="whole" operator="greaterThanOrEqual" allowBlank="1" showInputMessage="1" showErrorMessage="1" error="Positive whole number values only" prompt="Please provide the actual annual energy use in kWh. If not available then provide an estimate by multiplying the lighting power density and number of hours of usage. The typical lighting power density is between 1.5-3 W/sf." sqref="C31" xr:uid="{00000000-0002-0000-0200-000002000000}">
      <formula1>0</formula1>
    </dataValidation>
    <dataValidation type="whole" operator="greaterThanOrEqual" allowBlank="1" showInputMessage="1" showErrorMessage="1" error="Positive whole number values only" prompt="Please input value in square feet of floor area." sqref="C30" xr:uid="{00000000-0002-0000-0200-000003000000}">
      <formula1>0</formula1>
    </dataValidation>
    <dataValidation type="whole" operator="greaterThanOrEqual" allowBlank="1" showInputMessage="1" showErrorMessage="1" error="Positive whole number values only" prompt="Please provide the actual annual energy use in kWh. If not available then provide an estimate by multiplying the spot measurement of power(kW) by length of time (8760 hours). It is important to enter this value because it is used to estimate savings." sqref="C29 C24" xr:uid="{00000000-0002-0000-0200-000004000000}">
      <formula1>0</formula1>
    </dataValidation>
    <dataValidation type="whole" operator="greaterThanOrEqual" allowBlank="1" showInputMessage="1" showErrorMessage="1" error="Positive whole number values only" prompt="Please enter a value in kW.  Enter zero if there is no UPS." sqref="C25:C26" xr:uid="{00000000-0002-0000-0200-000005000000}">
      <formula1>0</formula1>
    </dataValidation>
    <dataValidation type="list" showInputMessage="1" showErrorMessage="1" prompt="Please select an input from the drop-down list." sqref="H45:H69" xr:uid="{00000000-0002-0000-0200-000006000000}">
      <formula1>"Yes,No,N/A"</formula1>
    </dataValidation>
    <dataValidation type="whole" operator="greaterThanOrEqual" allowBlank="1" showInputMessage="1" showErrorMessage="1" error="Positive whole number values only" prompt="If there is a UPS, please enter a value in kW.  Alternatively, leave this as zero and answer Question 5._x000a_If there is no UPS, leave this as zero." sqref="C27" xr:uid="{00000000-0002-0000-0200-000007000000}">
      <formula1>0</formula1>
    </dataValidation>
    <dataValidation type="decimal" operator="greaterThanOrEqual" allowBlank="1" showInputMessage="1" showErrorMessage="1" prompt="If you answered Question 4 with a number greater than zero, your input in this cell will be ignored. Otherwise, the efficiency value you enter here will be used to calculate the UPS input load." sqref="C28" xr:uid="{00000000-0002-0000-0200-000008000000}">
      <formula1>0</formula1>
    </dataValidation>
  </dataValidations>
  <pageMargins left="0.75" right="0.75" top="1" bottom="1" header="0.5" footer="0.5"/>
  <pageSetup scale="32" fitToHeight="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606" yWindow="362" count="17">
        <x14:dataValidation type="list" showInputMessage="1" showErrorMessage="1" prompt="Please select an input from the drop-down list." xr:uid="{00000000-0002-0000-0200-000009000000}">
          <x14:formula1>
            <xm:f>'Table BB'!$C$40:$C$42</xm:f>
          </x14:formula1>
          <xm:sqref>C49</xm:sqref>
        </x14:dataValidation>
        <x14:dataValidation type="list" showInputMessage="1" showErrorMessage="1" prompt="Please select an input from the drop-down list." xr:uid="{00000000-0002-0000-0200-00000A000000}">
          <x14:formula1>
            <xm:f>'Table BB'!$C$70:$C$75</xm:f>
          </x14:formula1>
          <xm:sqref>C56</xm:sqref>
        </x14:dataValidation>
        <x14:dataValidation type="list" showInputMessage="1" showErrorMessage="1" prompt="Please select an input from the drop-down list." xr:uid="{00000000-0002-0000-0200-00000B000000}">
          <x14:formula1>
            <xm:f>'Table BB'!$C$77:$C$80</xm:f>
          </x14:formula1>
          <xm:sqref>C57</xm:sqref>
        </x14:dataValidation>
        <x14:dataValidation type="list" showInputMessage="1" showErrorMessage="1" prompt="Please select an input from the drop-down list." xr:uid="{00000000-0002-0000-0200-00000C000000}">
          <x14:formula1>
            <xm:f>'Table BB'!$C$95:$C$97</xm:f>
          </x14:formula1>
          <xm:sqref>C60</xm:sqref>
        </x14:dataValidation>
        <x14:dataValidation type="list" showInputMessage="1" showErrorMessage="1" prompt="Please select an input from the drop-down list." xr:uid="{00000000-0002-0000-0200-00000D000000}">
          <x14:formula1>
            <xm:f>'Table BB'!$C$101:$C$103</xm:f>
          </x14:formula1>
          <xm:sqref>C61</xm:sqref>
        </x14:dataValidation>
        <x14:dataValidation type="list" showInputMessage="1" showErrorMessage="1" prompt="Please select an input from the drop-down list." xr:uid="{00000000-0002-0000-0200-00000E000000}">
          <x14:formula1>
            <xm:f>'Table BB'!$C$119:$C$123</xm:f>
          </x14:formula1>
          <xm:sqref>C67</xm:sqref>
        </x14:dataValidation>
        <x14:dataValidation type="list" showInputMessage="1" showErrorMessage="1" prompt="Please select an input from the drop-down list." xr:uid="{00000000-0002-0000-0200-00000F000000}">
          <x14:formula1>
            <xm:f>'Table BB'!$C$107:$C$109</xm:f>
          </x14:formula1>
          <xm:sqref>C62</xm:sqref>
        </x14:dataValidation>
        <x14:dataValidation type="list" showInputMessage="1" showErrorMessage="1" prompt="Please select an input from the drop-down list." xr:uid="{00000000-0002-0000-0200-000013000000}">
          <x14:formula1>
            <xm:f>'Table BB'!$C$15:$C$17</xm:f>
          </x14:formula1>
          <xm:sqref>C45</xm:sqref>
        </x14:dataValidation>
        <x14:dataValidation type="list" showInputMessage="1" showErrorMessage="1" prompt="Please select an input from the drop-down list." xr:uid="{00000000-0002-0000-0200-000014000000}">
          <x14:formula1>
            <xm:f>'Table BB'!$C$21:$C$23</xm:f>
          </x14:formula1>
          <xm:sqref>C46</xm:sqref>
        </x14:dataValidation>
        <x14:dataValidation type="list" showInputMessage="1" showErrorMessage="1" prompt="Please select an input from the drop-down list." xr:uid="{00000000-0002-0000-0200-000015000000}">
          <x14:formula1>
            <xm:f>'Table BB'!$C$27:$C$29</xm:f>
          </x14:formula1>
          <xm:sqref>C47</xm:sqref>
        </x14:dataValidation>
        <x14:dataValidation type="list" showInputMessage="1" showErrorMessage="1" prompt="Please select an input from the drop-down list." xr:uid="{00000000-0002-0000-0200-000016000000}">
          <x14:formula1>
            <xm:f>'Table BB'!$C$33:$C$38</xm:f>
          </x14:formula1>
          <xm:sqref>C48</xm:sqref>
        </x14:dataValidation>
        <x14:dataValidation type="list" showInputMessage="1" showErrorMessage="1" prompt="Please select an input from the drop-down list." xr:uid="{00000000-0002-0000-0200-000017000000}">
          <x14:formula1>
            <xm:f>'Table BB'!$C$58:$C$61</xm:f>
          </x14:formula1>
          <xm:sqref>C54</xm:sqref>
        </x14:dataValidation>
        <x14:dataValidation type="list" showInputMessage="1" showErrorMessage="1" prompt="Please select an input from the drop-down list." xr:uid="{00000000-0002-0000-0200-000018000000}">
          <x14:formula1>
            <xm:f>'Table BB'!$C$64:$C$66</xm:f>
          </x14:formula1>
          <xm:sqref>C55</xm:sqref>
        </x14:dataValidation>
        <x14:dataValidation type="list" showInputMessage="1" showErrorMessage="1" prompt="Please select an input from the drop-down list." xr:uid="{00000000-0002-0000-0200-000019000000}">
          <x14:formula1>
            <xm:f>'Table BB'!$C$83:$C$85</xm:f>
          </x14:formula1>
          <xm:sqref>C58</xm:sqref>
        </x14:dataValidation>
        <x14:dataValidation type="list" showInputMessage="1" showErrorMessage="1" prompt="Please select an input from the drop-down list." xr:uid="{00000000-0002-0000-0200-00001A000000}">
          <x14:formula1>
            <xm:f>'Table BB'!$C$89:$C$91</xm:f>
          </x14:formula1>
          <xm:sqref>C59</xm:sqref>
        </x14:dataValidation>
        <x14:dataValidation type="list" showInputMessage="1" showErrorMessage="1" prompt="Please select an input from the drop-down list." xr:uid="{00000000-0002-0000-0200-00001B000000}">
          <x14:formula1>
            <xm:f>'Table BB'!$C$52:$C$55</xm:f>
          </x14:formula1>
          <xm:sqref>C53</xm:sqref>
        </x14:dataValidation>
        <x14:dataValidation type="list" showInputMessage="1" showErrorMessage="1" prompt="Please select an input from the drop-down list." xr:uid="{00000000-0002-0000-0200-000022000000}">
          <x14:formula1>
            <xm:f>'Table BB'!$C$113:$C$117</xm:f>
          </x14:formula1>
          <xm:sqref>C64:C66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B0F0"/>
    <pageSetUpPr fitToPage="1"/>
  </sheetPr>
  <dimension ref="A1:O105"/>
  <sheetViews>
    <sheetView showGridLines="0" topLeftCell="A7" zoomScaleNormal="100" zoomScaleSheetLayoutView="100" workbookViewId="0">
      <selection activeCell="C16" sqref="C16"/>
    </sheetView>
  </sheetViews>
  <sheetFormatPr defaultColWidth="9.109375" defaultRowHeight="13.8" x14ac:dyDescent="0.25"/>
  <cols>
    <col min="1" max="1" width="7.33203125" style="128" customWidth="1"/>
    <col min="2" max="2" width="5.5546875" style="128" customWidth="1"/>
    <col min="3" max="3" width="44.109375" style="193" customWidth="1"/>
    <col min="4" max="4" width="48.109375" style="131" customWidth="1"/>
    <col min="5" max="5" width="33" style="131" customWidth="1"/>
    <col min="6" max="6" width="8.88671875" style="194" customWidth="1"/>
    <col min="7" max="7" width="9.88671875" style="193" customWidth="1"/>
    <col min="8" max="8" width="11.88671875" style="193" customWidth="1"/>
    <col min="9" max="9" width="11.33203125" style="193" customWidth="1"/>
    <col min="10" max="10" width="7.88671875" style="195" customWidth="1"/>
    <col min="11" max="11" width="4.88671875" style="128" customWidth="1"/>
    <col min="12" max="12" width="7.5546875" style="128" customWidth="1"/>
    <col min="13" max="13" width="15.5546875" style="128" customWidth="1"/>
    <col min="14" max="14" width="10.6640625" style="128" customWidth="1"/>
    <col min="15" max="15" width="71.88671875" style="128" customWidth="1"/>
    <col min="16" max="16384" width="9.109375" style="128"/>
  </cols>
  <sheetData>
    <row r="1" spans="1:15" ht="21.6" x14ac:dyDescent="0.25">
      <c r="A1" s="187" t="s">
        <v>250</v>
      </c>
      <c r="B1" s="188"/>
      <c r="C1" s="188"/>
      <c r="D1" s="189"/>
      <c r="E1" s="189"/>
      <c r="F1" s="190"/>
      <c r="G1" s="191"/>
      <c r="H1" s="191"/>
      <c r="I1" s="191"/>
      <c r="J1" s="192"/>
      <c r="K1" s="192"/>
      <c r="L1" s="192"/>
      <c r="M1" s="192"/>
      <c r="N1" s="192"/>
      <c r="O1" s="192"/>
    </row>
    <row r="2" spans="1:15" x14ac:dyDescent="0.25">
      <c r="A2" s="128" t="s">
        <v>587</v>
      </c>
      <c r="L2" s="196"/>
    </row>
    <row r="3" spans="1:15" x14ac:dyDescent="0.25">
      <c r="F3" s="131"/>
      <c r="G3" s="131"/>
      <c r="L3" s="196"/>
    </row>
    <row r="4" spans="1:15" ht="21.6" x14ac:dyDescent="0.25">
      <c r="A4" s="132" t="s">
        <v>112</v>
      </c>
      <c r="B4" s="197"/>
      <c r="C4" s="197"/>
      <c r="F4" s="131"/>
      <c r="G4" s="131"/>
    </row>
    <row r="5" spans="1:15" x14ac:dyDescent="0.25">
      <c r="A5" s="128" t="s">
        <v>419</v>
      </c>
      <c r="C5" s="128"/>
      <c r="D5" s="128"/>
      <c r="F5" s="131"/>
      <c r="G5" s="131"/>
    </row>
    <row r="6" spans="1:15" x14ac:dyDescent="0.25">
      <c r="A6" s="128" t="s">
        <v>276</v>
      </c>
      <c r="C6" s="128"/>
      <c r="F6" s="131"/>
      <c r="G6" s="131"/>
      <c r="L6" s="140"/>
      <c r="M6" s="133"/>
    </row>
    <row r="7" spans="1:15" x14ac:dyDescent="0.25">
      <c r="A7" s="128" t="s">
        <v>651</v>
      </c>
      <c r="C7" s="129"/>
      <c r="D7" s="130"/>
      <c r="F7" s="131"/>
      <c r="G7" s="131"/>
      <c r="L7" s="140"/>
      <c r="M7" s="133"/>
    </row>
    <row r="8" spans="1:15" s="129" customFormat="1" x14ac:dyDescent="0.25">
      <c r="A8" s="129" t="s">
        <v>652</v>
      </c>
      <c r="D8" s="130"/>
      <c r="E8" s="130"/>
      <c r="F8" s="130"/>
      <c r="G8" s="130"/>
      <c r="H8" s="254"/>
      <c r="I8" s="254"/>
      <c r="J8" s="402"/>
      <c r="L8" s="403"/>
    </row>
    <row r="9" spans="1:15" x14ac:dyDescent="0.25">
      <c r="A9" s="128" t="s">
        <v>420</v>
      </c>
      <c r="C9" s="128"/>
      <c r="F9" s="131"/>
      <c r="G9" s="131"/>
      <c r="L9" s="196"/>
    </row>
    <row r="10" spans="1:15" x14ac:dyDescent="0.25">
      <c r="A10" s="129" t="s">
        <v>586</v>
      </c>
      <c r="C10" s="128"/>
      <c r="L10" s="196"/>
    </row>
    <row r="11" spans="1:15" x14ac:dyDescent="0.25">
      <c r="C11" s="128"/>
      <c r="L11" s="196"/>
    </row>
    <row r="12" spans="1:15" ht="21.6" x14ac:dyDescent="0.25">
      <c r="A12" s="132" t="s">
        <v>198</v>
      </c>
      <c r="B12" s="198"/>
      <c r="C12" s="129"/>
      <c r="D12" s="128"/>
      <c r="E12" s="128"/>
      <c r="L12" s="196"/>
    </row>
    <row r="13" spans="1:15" x14ac:dyDescent="0.25">
      <c r="A13" s="199" t="s">
        <v>132</v>
      </c>
      <c r="B13" s="199" t="s">
        <v>133</v>
      </c>
      <c r="C13" s="199" t="s">
        <v>134</v>
      </c>
      <c r="D13" s="199" t="s">
        <v>135</v>
      </c>
      <c r="E13" s="199" t="s">
        <v>136</v>
      </c>
      <c r="F13" s="199" t="s">
        <v>137</v>
      </c>
      <c r="G13" s="199" t="s">
        <v>138</v>
      </c>
      <c r="H13" s="199" t="s">
        <v>139</v>
      </c>
      <c r="I13" s="199" t="s">
        <v>140</v>
      </c>
      <c r="J13" s="199" t="s">
        <v>141</v>
      </c>
      <c r="L13" s="196"/>
    </row>
    <row r="14" spans="1:15" ht="31.5" customHeight="1" x14ac:dyDescent="0.25">
      <c r="A14" s="506" t="s">
        <v>76</v>
      </c>
      <c r="B14" s="506" t="s">
        <v>108</v>
      </c>
      <c r="C14" s="506"/>
      <c r="D14" s="506" t="s">
        <v>407</v>
      </c>
      <c r="E14" s="506"/>
      <c r="F14" s="515" t="s">
        <v>113</v>
      </c>
      <c r="G14" s="515"/>
      <c r="H14" s="515"/>
      <c r="I14" s="135" t="s">
        <v>107</v>
      </c>
      <c r="J14" s="200" t="s">
        <v>87</v>
      </c>
      <c r="L14" s="196"/>
    </row>
    <row r="15" spans="1:15" ht="20.25" customHeight="1" thickBot="1" x14ac:dyDescent="0.3">
      <c r="A15" s="506"/>
      <c r="B15" s="506"/>
      <c r="C15" s="506"/>
      <c r="D15" s="506"/>
      <c r="E15" s="506"/>
      <c r="F15" s="201" t="s">
        <v>5</v>
      </c>
      <c r="G15" s="135" t="s">
        <v>89</v>
      </c>
      <c r="H15" s="135" t="s">
        <v>90</v>
      </c>
      <c r="I15" s="135" t="s">
        <v>88</v>
      </c>
      <c r="J15" s="135" t="s">
        <v>86</v>
      </c>
      <c r="L15" s="196"/>
    </row>
    <row r="16" spans="1:15" s="129" customFormat="1" ht="28.2" thickBot="1" x14ac:dyDescent="0.3">
      <c r="A16" s="384" t="str">
        <f>'Table BB'!A15</f>
        <v>Q23</v>
      </c>
      <c r="B16" s="208">
        <v>1</v>
      </c>
      <c r="C16" s="162" t="str">
        <f>IF(AND(NOT('User Inputs'!G45="N/A"),'User Inputs'!H45="Yes"),'User Inputs'!G45,"N/A")</f>
        <v>Maintain Power Factor at Main Feeder Panel at 0.90 or Higher.</v>
      </c>
      <c r="D16" s="352" t="str">
        <f>IF('Table BB'!N15="Yes",'Table BB'!O15,"")</f>
        <v>This tool assumes the new building power factor will be:</v>
      </c>
      <c r="E16" s="406" t="str">
        <f>IF('Table BB'!N15="Yes",'Table BB'!Q15,"")</f>
        <v>≥0.9</v>
      </c>
      <c r="F16" s="209">
        <f>'Table BB'!AA15</f>
        <v>2</v>
      </c>
      <c r="G16" s="210">
        <f>'Table BB'!AB15</f>
        <v>20000</v>
      </c>
      <c r="H16" s="211">
        <f>'Table BB'!AC15</f>
        <v>3000</v>
      </c>
      <c r="I16" s="113">
        <v>8000</v>
      </c>
      <c r="J16" s="212">
        <f>'Table BB'!AE15</f>
        <v>2.6666666666666665</v>
      </c>
    </row>
    <row r="17" spans="1:14" s="129" customFormat="1" ht="25.5" customHeight="1" thickBot="1" x14ac:dyDescent="0.3">
      <c r="A17" s="384" t="str">
        <f>'Table BB'!A21</f>
        <v>Q24</v>
      </c>
      <c r="B17" s="208">
        <v>1</v>
      </c>
      <c r="C17" s="162" t="str">
        <f>IF(AND(NOT('User Inputs'!G46="N/A"),'User Inputs'!H46="Yes"),'User Inputs'!G46,"N/A")</f>
        <v>Maintain Total Harmonic Distortion at Main Feeder Panel at 5% or Less.</v>
      </c>
      <c r="D17" s="352" t="str">
        <f>IF('Table BB'!N21="Yes",'Table BB'!O21,"")</f>
        <v>This tool assumes the new building total harmonic current distortion (THD) at the main feeder panel will be:</v>
      </c>
      <c r="E17" s="406" t="str">
        <f>IF('Table BB'!N21="Yes",'Table BB'!Q21,"")</f>
        <v>≤5%</v>
      </c>
      <c r="F17" s="209">
        <f>'Table BB'!AA21</f>
        <v>0.5</v>
      </c>
      <c r="G17" s="210">
        <f>'Table BB'!AB21</f>
        <v>5000</v>
      </c>
      <c r="H17" s="211">
        <f>'Table BB'!AC21</f>
        <v>750</v>
      </c>
      <c r="I17" s="113">
        <v>10000</v>
      </c>
      <c r="J17" s="212">
        <f>'Table BB'!AE21</f>
        <v>13.333333333333334</v>
      </c>
    </row>
    <row r="18" spans="1:14" s="129" customFormat="1" ht="28.2" thickBot="1" x14ac:dyDescent="0.3">
      <c r="A18" s="384" t="str">
        <f>'Table BB'!A27</f>
        <v>Q25</v>
      </c>
      <c r="B18" s="208">
        <v>1</v>
      </c>
      <c r="C18" s="162" t="str">
        <f>IF(AND(NOT('User Inputs'!G47="N/A"),'User Inputs'!H47="Yes"),'User Inputs'!G47,"N/A")</f>
        <v>Maintain Balanced Loads Between Phases.</v>
      </c>
      <c r="D18" s="352" t="str">
        <f>IF('Table BB'!N27="Yes",'Table BB'!O27,"")</f>
        <v>This tool assumes the new loads on all phases for the transformers, UPSs, and PDUs will be:</v>
      </c>
      <c r="E18" s="406" t="str">
        <f>IF('Table BB'!N27="Yes",'Table BB'!Q27,"")</f>
        <v>Balanced to within 10% or less.</v>
      </c>
      <c r="F18" s="209">
        <f>'Table BB'!AA27</f>
        <v>0.5</v>
      </c>
      <c r="G18" s="210">
        <f>'Table BB'!AB27</f>
        <v>5000</v>
      </c>
      <c r="H18" s="211">
        <f>'Table BB'!AC27</f>
        <v>750</v>
      </c>
      <c r="I18" s="113">
        <v>20000</v>
      </c>
      <c r="J18" s="212">
        <f>'Table BB'!AE27</f>
        <v>26.666666666666668</v>
      </c>
    </row>
    <row r="19" spans="1:14" s="129" customFormat="1" ht="26.25" customHeight="1" thickBot="1" x14ac:dyDescent="0.3">
      <c r="A19" s="384" t="str">
        <f>'Table BB'!A33</f>
        <v>Q26</v>
      </c>
      <c r="B19" s="208">
        <v>1</v>
      </c>
      <c r="C19" s="162" t="str">
        <f>IF(AND(NOT('User Inputs'!G48="N/A"),'User Inputs'!H48="Yes"),'User Inputs'!G48,"N/A")</f>
        <v>Use High Efficiency MV and LV Transformers.</v>
      </c>
      <c r="D19" s="352" t="str">
        <f>IF('Table BB'!N33="Yes",'Table BB'!O33,"")</f>
        <v>This tool assumes the new age and type of the main transformer serving the IT power chain will be:</v>
      </c>
      <c r="E19" s="406" t="str">
        <f>IF('Table BB'!N33="Yes",'Table BB'!Q33,"")</f>
        <v>Temp rise &lt; 150 C and age &lt; 15 years old.</v>
      </c>
      <c r="F19" s="209">
        <f>'Table BB'!AA33</f>
        <v>1</v>
      </c>
      <c r="G19" s="210">
        <f>'Table BB'!AB33</f>
        <v>10000</v>
      </c>
      <c r="H19" s="211">
        <f>'Table BB'!AC33</f>
        <v>1500</v>
      </c>
      <c r="I19" s="113">
        <v>50000</v>
      </c>
      <c r="J19" s="212">
        <f>'Table BB'!AE33</f>
        <v>33.333333333333336</v>
      </c>
    </row>
    <row r="20" spans="1:14" s="129" customFormat="1" ht="12.75" customHeight="1" x14ac:dyDescent="0.25">
      <c r="A20" s="468" t="str">
        <f>'Table BB'!A40</f>
        <v>Q27</v>
      </c>
      <c r="B20" s="203">
        <v>1</v>
      </c>
      <c r="C20" s="185" t="str">
        <f>IF(AND(NOT('User Inputs'!G49="N/A"),'User Inputs'!H49="Yes"),'User Inputs'!G49,"N/A")</f>
        <v>Shut Down UPS Modules when Redundancy Level is High Enough.</v>
      </c>
      <c r="D20" s="471" t="str">
        <f>IF('Table BB'!N40="Yes",'Table BB'!O40,"")</f>
        <v>What will the new UPS load factor be?</v>
      </c>
      <c r="E20" s="516">
        <v>0.8</v>
      </c>
      <c r="F20" s="483">
        <f>'Table BB'!AA40</f>
        <v>25.061428571428578</v>
      </c>
      <c r="G20" s="497">
        <f>'Table BB'!AB40</f>
        <v>1592669.4994299926</v>
      </c>
      <c r="H20" s="500">
        <f>'Table BB'!AC40</f>
        <v>238900.4249144989</v>
      </c>
      <c r="I20" s="477">
        <v>1000000</v>
      </c>
      <c r="J20" s="519">
        <f>'Table BB'!AE40</f>
        <v>4.1858443757808059</v>
      </c>
    </row>
    <row r="21" spans="1:14" s="129" customFormat="1" x14ac:dyDescent="0.25">
      <c r="A21" s="469"/>
      <c r="B21" s="206">
        <v>2</v>
      </c>
      <c r="C21" s="186" t="str">
        <f>IF(AND(NOT('User Inputs'!G50="N/A"),'User Inputs'!H50="Yes"),'User Inputs'!G50,"N/A")</f>
        <v>Install a Modular UPS.</v>
      </c>
      <c r="D21" s="472"/>
      <c r="E21" s="517"/>
      <c r="F21" s="484"/>
      <c r="G21" s="498"/>
      <c r="H21" s="501"/>
      <c r="I21" s="478"/>
      <c r="J21" s="520"/>
    </row>
    <row r="22" spans="1:14" s="129" customFormat="1" x14ac:dyDescent="0.25">
      <c r="A22" s="469"/>
      <c r="B22" s="136">
        <v>3</v>
      </c>
      <c r="C22" s="424" t="str">
        <f>IF(AND(NOT('User Inputs'!G51="N/A"),'User Inputs'!H51="Yes"),'User Inputs'!G51,"N/A")</f>
        <v>Right-Size the UPS.</v>
      </c>
      <c r="D22" s="472"/>
      <c r="E22" s="517"/>
      <c r="F22" s="484"/>
      <c r="G22" s="498"/>
      <c r="H22" s="501"/>
      <c r="I22" s="478"/>
      <c r="J22" s="520"/>
    </row>
    <row r="23" spans="1:14" s="129" customFormat="1" ht="14.4" thickBot="1" x14ac:dyDescent="0.3">
      <c r="A23" s="470"/>
      <c r="B23" s="155">
        <v>4</v>
      </c>
      <c r="C23" s="326" t="str">
        <f>IF(AND(NOT('User Inputs'!G52="N/A"),'User Inputs'!H52="Yes"),'User Inputs'!G52,"N/A")</f>
        <v>Replace the UPS with a More Efficient Unit.</v>
      </c>
      <c r="D23" s="473"/>
      <c r="E23" s="518"/>
      <c r="F23" s="485"/>
      <c r="G23" s="499"/>
      <c r="H23" s="502"/>
      <c r="I23" s="479"/>
      <c r="J23" s="521"/>
    </row>
    <row r="24" spans="1:14" s="129" customFormat="1" ht="14.4" thickBot="1" x14ac:dyDescent="0.3">
      <c r="A24" s="384" t="str">
        <f>'Table BB'!A52</f>
        <v>Q28</v>
      </c>
      <c r="B24" s="208">
        <v>1</v>
      </c>
      <c r="C24" s="162" t="str">
        <f>IF(AND(NOT('User Inputs'!G53="N/A"),'User Inputs'!H53="Yes"),'User Inputs'!G53,"N/A")</f>
        <v>Implement a Switching UPS</v>
      </c>
      <c r="D24" s="158" t="str">
        <f>IF('Table BB'!N52="Yes",'Table BB'!O52,"")</f>
        <v>This tool assumes the UPS eco-mode feature will be activated.</v>
      </c>
      <c r="E24" s="407"/>
      <c r="F24" s="209">
        <f>'Table BB'!AA52</f>
        <v>3</v>
      </c>
      <c r="G24" s="210">
        <f>'Table BB'!AB52</f>
        <v>30000</v>
      </c>
      <c r="H24" s="211">
        <f>'Table BB'!AC52</f>
        <v>4500</v>
      </c>
      <c r="I24" s="113">
        <v>1000</v>
      </c>
      <c r="J24" s="212">
        <f>'Table BB'!AE52</f>
        <v>0.22222222222222221</v>
      </c>
    </row>
    <row r="25" spans="1:14" s="129" customFormat="1" ht="27" customHeight="1" thickBot="1" x14ac:dyDescent="0.3">
      <c r="A25" s="384" t="str">
        <f>'Table BB'!A58</f>
        <v>Q29</v>
      </c>
      <c r="B25" s="208">
        <v>1</v>
      </c>
      <c r="C25" s="162" t="str">
        <f>IF(AND(NOT('User Inputs'!G54="N/A"),'User Inputs'!H54="Yes"),'User Inputs'!G54,"N/A")</f>
        <v>Change UPS DC Capacitors.</v>
      </c>
      <c r="D25" s="352" t="str">
        <f>IF('Table BB'!N58="Yes",'Table BB'!O58,"")</f>
        <v>This tool assumes the UPS DC capacitors will be replaced with new ones.</v>
      </c>
      <c r="E25" s="407"/>
      <c r="F25" s="209">
        <f>'Table BB'!AA58</f>
        <v>0.5</v>
      </c>
      <c r="G25" s="210">
        <f>'Table BB'!AB58</f>
        <v>5000</v>
      </c>
      <c r="H25" s="211">
        <f>'Table BB'!AC58</f>
        <v>750</v>
      </c>
      <c r="I25" s="113">
        <v>10000</v>
      </c>
      <c r="J25" s="212">
        <f>'Table BB'!AE58</f>
        <v>13.333333333333334</v>
      </c>
    </row>
    <row r="26" spans="1:14" s="129" customFormat="1" ht="29.25" customHeight="1" thickBot="1" x14ac:dyDescent="0.3">
      <c r="A26" s="384" t="str">
        <f>'Table BB'!A64</f>
        <v>Q30</v>
      </c>
      <c r="B26" s="208">
        <v>1</v>
      </c>
      <c r="C26" s="162" t="str">
        <f>IF(AND(NOT('User Inputs'!G55="N/A"),'User Inputs'!H55="Yes"),'User Inputs'!G55,"N/A")</f>
        <v>Ensure Non-Critical Loads are Not Connected to the UPS.</v>
      </c>
      <c r="D26" s="352" t="str">
        <f>IF('Table BB'!N64="Yes",'Table BB'!O64,"")</f>
        <v>This tool assumes that non-critical loads will no longer be served by the UPS.</v>
      </c>
      <c r="E26" s="407"/>
      <c r="F26" s="209">
        <f>'Table BB'!AA64</f>
        <v>1</v>
      </c>
      <c r="G26" s="210">
        <f>'Table BB'!AB64</f>
        <v>10000</v>
      </c>
      <c r="H26" s="211">
        <f>'Table BB'!AC64</f>
        <v>1500</v>
      </c>
      <c r="I26" s="113">
        <v>8000</v>
      </c>
      <c r="J26" s="212">
        <f>'Table BB'!AE64</f>
        <v>5.333333333333333</v>
      </c>
    </row>
    <row r="27" spans="1:14" s="129" customFormat="1" ht="27" customHeight="1" thickBot="1" x14ac:dyDescent="0.3">
      <c r="A27" s="384" t="str">
        <f>'Table BB'!A70</f>
        <v>Q31</v>
      </c>
      <c r="B27" s="208">
        <v>1</v>
      </c>
      <c r="C27" s="162" t="str">
        <f>IF(AND(NOT('User Inputs'!G56="N/A"),'User Inputs'!H56="Yes"),'User Inputs'!G56,"N/A")</f>
        <v>Use High Efficiency MV and LV Transformers.</v>
      </c>
      <c r="D27" s="352" t="str">
        <f>IF('Table BB'!N70="Yes",'Table BB'!O70,"")</f>
        <v>This tool assumes the new age and type of the transformers in the PDUs will be:</v>
      </c>
      <c r="E27" s="406" t="str">
        <f>IF('Table BB'!N70="Yes",'Table BB'!Q70,"")</f>
        <v>Temp rise &lt; 150 C and age &lt; 15 years old.</v>
      </c>
      <c r="F27" s="209">
        <f>'Table BB'!AA70</f>
        <v>1</v>
      </c>
      <c r="G27" s="210">
        <f>'Table BB'!AB70</f>
        <v>10000</v>
      </c>
      <c r="H27" s="211">
        <f>'Table BB'!AC70</f>
        <v>1500</v>
      </c>
      <c r="I27" s="113">
        <v>50000</v>
      </c>
      <c r="J27" s="212">
        <f>'Table BB'!AE70</f>
        <v>33.333333333333336</v>
      </c>
    </row>
    <row r="28" spans="1:14" ht="26.25" customHeight="1" thickBot="1" x14ac:dyDescent="0.3">
      <c r="A28" s="385" t="str">
        <f>'Table BB'!A77</f>
        <v>Q32</v>
      </c>
      <c r="B28" s="203">
        <v>1</v>
      </c>
      <c r="C28" s="185" t="str">
        <f>IF(AND(NOT('User Inputs'!G57="N/A"),'User Inputs'!H57="Yes"),'User Inputs'!G57,"N/A")</f>
        <v>Consolidate Transformer Loads</v>
      </c>
      <c r="D28" s="352" t="str">
        <f>IF('Table BB'!N77="Yes",'Table BB'!O77,"")</f>
        <v>What will the average load factor for the active PDUs that contain transformers be?</v>
      </c>
      <c r="E28" s="332" t="s">
        <v>15</v>
      </c>
      <c r="F28" s="330">
        <f>'Table BB'!AA77</f>
        <v>5</v>
      </c>
      <c r="G28" s="331">
        <f>'Table BB'!AB77</f>
        <v>50000</v>
      </c>
      <c r="H28" s="329">
        <f>'Table BB'!AC77</f>
        <v>7500</v>
      </c>
      <c r="I28" s="370">
        <v>7500</v>
      </c>
      <c r="J28" s="328">
        <f>'Table BB'!AE77</f>
        <v>1</v>
      </c>
      <c r="M28" s="204"/>
      <c r="N28" s="205"/>
    </row>
    <row r="29" spans="1:14" ht="27" customHeight="1" thickBot="1" x14ac:dyDescent="0.3">
      <c r="A29" s="384" t="str">
        <f>'Table BB'!A83</f>
        <v>Q33</v>
      </c>
      <c r="B29" s="208">
        <v>1</v>
      </c>
      <c r="C29" s="162" t="str">
        <f>IF(AND(NOT('User Inputs'!G58="N/A"),'User Inputs'!H58="Yes"),'User Inputs'!G58,"N/A")</f>
        <v>Retrofit IT Equipment to Maintain High Power Factor and Low Total Harmonic Distortion.</v>
      </c>
      <c r="D29" s="352" t="str">
        <f>IF('Table BB'!N83="Yes",'Table BB'!O83,"")</f>
        <v>This tool assumes the new power factor for the IT equipment will be:</v>
      </c>
      <c r="E29" s="406" t="str">
        <f>IF('Table BB'!N83="Yes",'Table BB'!Q83,"")</f>
        <v>≥0.9</v>
      </c>
      <c r="F29" s="209">
        <f>'Table BB'!AA83</f>
        <v>2</v>
      </c>
      <c r="G29" s="210">
        <f>'Table BB'!AB83</f>
        <v>20000</v>
      </c>
      <c r="H29" s="211">
        <f>'Table BB'!AC83</f>
        <v>3000</v>
      </c>
      <c r="I29" s="113">
        <v>500000</v>
      </c>
      <c r="J29" s="212">
        <f>'Table BB'!AE83</f>
        <v>166.66666666666666</v>
      </c>
      <c r="M29" s="207"/>
      <c r="N29" s="207"/>
    </row>
    <row r="30" spans="1:14" ht="14.4" thickBot="1" x14ac:dyDescent="0.3">
      <c r="A30" s="384" t="str">
        <f>'Table BB'!A89</f>
        <v>Q34</v>
      </c>
      <c r="B30" s="208">
        <v>1</v>
      </c>
      <c r="C30" s="162" t="str">
        <f>IF(AND(NOT('User Inputs'!G59="N/A"),'User Inputs'!H59="Yes"),'User Inputs'!G59,"N/A")</f>
        <v>Supply DC Voltage to IT Rack.</v>
      </c>
      <c r="D30" s="352" t="str">
        <f>IF('Table BB'!N89="Yes",'Table BB'!O89,"")</f>
        <v>This tool assumes the new power source for the IT racks will be:</v>
      </c>
      <c r="E30" s="406" t="str">
        <f>IF('Table BB'!N89="Yes",'Table BB'!Q89,"")</f>
        <v>Direct current (DC).</v>
      </c>
      <c r="F30" s="209">
        <f>'Table BB'!AA89</f>
        <v>10</v>
      </c>
      <c r="G30" s="210">
        <f>'Table BB'!AB89</f>
        <v>100000</v>
      </c>
      <c r="H30" s="211">
        <f>'Table BB'!AC89</f>
        <v>15000</v>
      </c>
      <c r="I30" s="113">
        <v>1000000</v>
      </c>
      <c r="J30" s="212">
        <f>'Table BB'!AE89</f>
        <v>66.666666666666671</v>
      </c>
    </row>
    <row r="31" spans="1:14" ht="27.75" customHeight="1" thickBot="1" x14ac:dyDescent="0.3">
      <c r="A31" s="384" t="str">
        <f>'Table BB'!A95</f>
        <v>Q35</v>
      </c>
      <c r="B31" s="208">
        <v>1</v>
      </c>
      <c r="C31" s="162" t="str">
        <f>IF(AND(NOT('User Inputs'!G60="N/A"),'User Inputs'!H60="Yes"),'User Inputs'!G60,"N/A")</f>
        <v>Use Alternate Power Source to Warm Generator Blocks.</v>
      </c>
      <c r="D31" s="352" t="str">
        <f>IF('Table BB'!N95="Yes",'Table BB'!O95,"")</f>
        <v>This tool assumes the new power source for the emergency generator block heater(s) will be:</v>
      </c>
      <c r="E31" s="406" t="str">
        <f>IF('Table BB'!N95="Yes",'Table BB'!Q95,"")</f>
        <v>Alternate power source, e.g. solar.</v>
      </c>
      <c r="F31" s="209">
        <f>'Table BB'!AA95</f>
        <v>0.5</v>
      </c>
      <c r="G31" s="210">
        <f>'Table BB'!AB95</f>
        <v>5000</v>
      </c>
      <c r="H31" s="211">
        <f>'Table BB'!AC95</f>
        <v>750</v>
      </c>
      <c r="I31" s="113">
        <v>100000</v>
      </c>
      <c r="J31" s="212">
        <f>'Table BB'!AE95</f>
        <v>133.33333333333334</v>
      </c>
    </row>
    <row r="32" spans="1:14" ht="29.25" customHeight="1" thickBot="1" x14ac:dyDescent="0.3">
      <c r="A32" s="384" t="str">
        <f>'Table BB'!A101</f>
        <v>Q36</v>
      </c>
      <c r="B32" s="208">
        <v>1</v>
      </c>
      <c r="C32" s="162" t="str">
        <f>IF(AND(NOT('User Inputs'!G61="N/A"),'User Inputs'!H61="Yes"),'User Inputs'!G61,"N/A")</f>
        <v>Apply Thermostat Control to Generator Block Heaters.</v>
      </c>
      <c r="D32" s="352" t="str">
        <f>IF('Table BB'!N101="Yes",'Table BB'!O101,"")</f>
        <v>This tool assumes the block heater(s)/heater water jacket for emergency generator(s) will be equipped with with thermostat control.</v>
      </c>
      <c r="E32" s="407"/>
      <c r="F32" s="209">
        <f>'Table BB'!AA101</f>
        <v>0.5</v>
      </c>
      <c r="G32" s="210">
        <f>'Table BB'!AB101</f>
        <v>5000</v>
      </c>
      <c r="H32" s="211">
        <f>'Table BB'!AC101</f>
        <v>750</v>
      </c>
      <c r="I32" s="113">
        <v>1000</v>
      </c>
      <c r="J32" s="212">
        <f>'Table BB'!AE101</f>
        <v>1.3333333333333333</v>
      </c>
    </row>
    <row r="33" spans="1:15" ht="12.75" customHeight="1" x14ac:dyDescent="0.25">
      <c r="A33" s="449" t="str">
        <f>'Table BB'!A107</f>
        <v>Q37</v>
      </c>
      <c r="B33" s="152">
        <v>1</v>
      </c>
      <c r="C33" s="323" t="str">
        <f>IF(AND(NOT('User Inputs'!G62="N/A"),'User Inputs'!H62="Yes"),'User Inputs'!G62,"N/A")</f>
        <v>Illuminate Work Areas Only.</v>
      </c>
      <c r="D33" s="507" t="str">
        <f>IF('Table BB'!N107="Yes",'Table BB'!O107,"")</f>
        <v>This tool assumes the data center lighting will be reconfigured to provide light only to the areas that need it.</v>
      </c>
      <c r="E33" s="509"/>
      <c r="F33" s="511">
        <f>'Table BB'!AA107</f>
        <v>15</v>
      </c>
      <c r="G33" s="513">
        <f>'Table BB'!AB107</f>
        <v>412500</v>
      </c>
      <c r="H33" s="522">
        <f>'Table BB'!AC107</f>
        <v>61875</v>
      </c>
      <c r="I33" s="477">
        <v>400000</v>
      </c>
      <c r="J33" s="524">
        <f>'Table BB'!AE107</f>
        <v>6.4646464646464645</v>
      </c>
    </row>
    <row r="34" spans="1:15" ht="28.2" thickBot="1" x14ac:dyDescent="0.3">
      <c r="A34" s="451"/>
      <c r="B34" s="155">
        <v>2</v>
      </c>
      <c r="C34" s="326" t="str">
        <f>IF(AND(NOT('User Inputs'!G63="N/A"),'User Inputs'!H63="Yes"),'User Inputs'!G63,"N/A")</f>
        <v>Coordinate Light Fixture Placement with IT Equipment Placement.</v>
      </c>
      <c r="D34" s="508"/>
      <c r="E34" s="510"/>
      <c r="F34" s="512"/>
      <c r="G34" s="514"/>
      <c r="H34" s="523"/>
      <c r="I34" s="478"/>
      <c r="J34" s="525"/>
    </row>
    <row r="35" spans="1:15" ht="12.75" customHeight="1" x14ac:dyDescent="0.25">
      <c r="A35" s="468" t="str">
        <f>'Table BB'!A113</f>
        <v>Q38</v>
      </c>
      <c r="B35" s="152">
        <v>1</v>
      </c>
      <c r="C35" s="323" t="str">
        <f>IF(AND(NOT('User Inputs'!G64="N/A"),'User Inputs'!H64="Yes"),'User Inputs'!G64,"N/A")</f>
        <v>N/A</v>
      </c>
      <c r="D35" s="471" t="str">
        <f>IF('Table BB'!N113="Yes",'Table BB'!O113,"")</f>
        <v>The lights will be controlled in the data center by:</v>
      </c>
      <c r="E35" s="503" t="str">
        <f>IF(C35='Table BB'!H114,'Table BB'!P114,IF(C36='Table BB'!H115,'Table BB'!P115,IF(C37='Table BB'!H116,'Table BB'!P116,"")))</f>
        <v>Occupancy Sensor.</v>
      </c>
      <c r="F35" s="483">
        <f>'Table BB'!AA113</f>
        <v>70</v>
      </c>
      <c r="G35" s="497">
        <f>'Table BB'!AB113</f>
        <v>1924999.9999999998</v>
      </c>
      <c r="H35" s="500">
        <f>'Table BB'!AC113</f>
        <v>288749.99999999994</v>
      </c>
      <c r="I35" s="477">
        <v>20000</v>
      </c>
      <c r="J35" s="480">
        <f>'Table BB'!AE113</f>
        <v>6.9264069264069278E-2</v>
      </c>
    </row>
    <row r="36" spans="1:15" x14ac:dyDescent="0.25">
      <c r="A36" s="469"/>
      <c r="B36" s="136">
        <v>2</v>
      </c>
      <c r="C36" s="324" t="str">
        <f>IF(AND(NOT('User Inputs'!G65="N/A"),'User Inputs'!H65="Yes"),'User Inputs'!G65,"N/A")</f>
        <v>N/A</v>
      </c>
      <c r="D36" s="472"/>
      <c r="E36" s="504"/>
      <c r="F36" s="484"/>
      <c r="G36" s="498"/>
      <c r="H36" s="501"/>
      <c r="I36" s="478"/>
      <c r="J36" s="481"/>
    </row>
    <row r="37" spans="1:15" ht="14.4" thickBot="1" x14ac:dyDescent="0.3">
      <c r="A37" s="470"/>
      <c r="B37" s="155">
        <v>3</v>
      </c>
      <c r="C37" s="326" t="str">
        <f>IF(AND(NOT('User Inputs'!G66="N/A"),'User Inputs'!H66="Yes"),'User Inputs'!G66,"N/A")</f>
        <v>Install Occupancy Sensors to Control Lights.</v>
      </c>
      <c r="D37" s="473"/>
      <c r="E37" s="505"/>
      <c r="F37" s="485"/>
      <c r="G37" s="499"/>
      <c r="H37" s="502"/>
      <c r="I37" s="479"/>
      <c r="J37" s="482"/>
    </row>
    <row r="38" spans="1:15" x14ac:dyDescent="0.25">
      <c r="A38" s="449" t="str">
        <f>'Table BB'!A119</f>
        <v>Q39</v>
      </c>
      <c r="B38" s="152">
        <v>1</v>
      </c>
      <c r="C38" s="323" t="str">
        <f>IF(AND(NOT('User Inputs'!G67="N/A"),'User Inputs'!H67="Yes"),'User Inputs'!G67,"N/A")</f>
        <v>N/A</v>
      </c>
      <c r="D38" s="471" t="str">
        <f>IF('Table BB'!N119="Yes",'Table BB'!O119,"")</f>
        <v>The new type of lamps to be installed in the data center are:</v>
      </c>
      <c r="E38" s="503" t="str">
        <f>IF(C38='Table BB'!H120,'Table BB'!P120,IF(C39='Table BB'!H121,'Table BB'!P121,IF(C40='Table BB'!H122,'Table BB'!P122,"")))</f>
        <v>T5 Fluorescent.</v>
      </c>
      <c r="F38" s="483">
        <f>'Table BB'!AA119</f>
        <v>25</v>
      </c>
      <c r="G38" s="497">
        <f>'Table BB'!AB119</f>
        <v>687500</v>
      </c>
      <c r="H38" s="500">
        <f>'Table BB'!AC119</f>
        <v>103125</v>
      </c>
      <c r="I38" s="477">
        <v>400000</v>
      </c>
      <c r="J38" s="480">
        <f>'Table BB'!AE119</f>
        <v>3.8787878787878789</v>
      </c>
    </row>
    <row r="39" spans="1:15" x14ac:dyDescent="0.25">
      <c r="A39" s="450"/>
      <c r="B39" s="136">
        <v>2</v>
      </c>
      <c r="C39" s="334" t="str">
        <f>IF(AND(NOT('User Inputs'!G68="N/A"),'User Inputs'!H68="Yes"),'User Inputs'!G68,"N/A")</f>
        <v>Install Linear Fluorescent T5 Fixtures.</v>
      </c>
      <c r="D39" s="472"/>
      <c r="E39" s="504"/>
      <c r="F39" s="484"/>
      <c r="G39" s="498"/>
      <c r="H39" s="501"/>
      <c r="I39" s="478"/>
      <c r="J39" s="481"/>
    </row>
    <row r="40" spans="1:15" ht="14.4" thickBot="1" x14ac:dyDescent="0.3">
      <c r="A40" s="451"/>
      <c r="B40" s="155">
        <v>3</v>
      </c>
      <c r="C40" s="353" t="str">
        <f>IF(AND(NOT('User Inputs'!G69="N/A"),'User Inputs'!H69="Yes"),'User Inputs'!G69,"N/A")</f>
        <v>N/A</v>
      </c>
      <c r="D40" s="473"/>
      <c r="E40" s="505"/>
      <c r="F40" s="485"/>
      <c r="G40" s="499"/>
      <c r="H40" s="502"/>
      <c r="I40" s="479"/>
      <c r="J40" s="482"/>
    </row>
    <row r="41" spans="1:15" x14ac:dyDescent="0.25">
      <c r="A41" s="166"/>
      <c r="B41" s="166"/>
      <c r="C41" s="128"/>
      <c r="D41" s="128"/>
      <c r="E41" s="128"/>
      <c r="F41" s="128"/>
      <c r="G41" s="128"/>
      <c r="H41" s="128"/>
      <c r="I41" s="128"/>
      <c r="J41" s="128"/>
    </row>
    <row r="42" spans="1:15" ht="21.6" x14ac:dyDescent="0.25">
      <c r="A42" s="166"/>
      <c r="B42" s="166"/>
      <c r="C42" s="128"/>
      <c r="D42" s="128"/>
      <c r="E42" s="128"/>
      <c r="F42" s="128"/>
      <c r="G42" s="128"/>
      <c r="H42" s="128"/>
      <c r="I42" s="128"/>
      <c r="J42" s="128"/>
      <c r="L42" s="132" t="s">
        <v>142</v>
      </c>
    </row>
    <row r="43" spans="1:15" x14ac:dyDescent="0.25">
      <c r="F43" s="128"/>
      <c r="G43" s="128"/>
      <c r="H43" s="128"/>
      <c r="I43" s="128"/>
      <c r="J43" s="128"/>
      <c r="L43" s="135" t="s">
        <v>172</v>
      </c>
    </row>
    <row r="44" spans="1:15" x14ac:dyDescent="0.25">
      <c r="F44" s="128"/>
      <c r="G44" s="128"/>
      <c r="H44" s="128"/>
      <c r="I44" s="128"/>
      <c r="J44" s="128"/>
      <c r="L44" s="213" t="s">
        <v>132</v>
      </c>
      <c r="M44" s="488" t="s">
        <v>76</v>
      </c>
      <c r="N44" s="489"/>
      <c r="O44" s="368" t="s">
        <v>486</v>
      </c>
    </row>
    <row r="45" spans="1:15" ht="27.6" x14ac:dyDescent="0.25">
      <c r="F45" s="128"/>
      <c r="G45" s="128"/>
      <c r="H45" s="128"/>
      <c r="I45" s="128"/>
      <c r="J45" s="128"/>
      <c r="L45" s="213" t="s">
        <v>133</v>
      </c>
      <c r="M45" s="493" t="s">
        <v>108</v>
      </c>
      <c r="N45" s="494"/>
      <c r="O45" s="368" t="s">
        <v>487</v>
      </c>
    </row>
    <row r="46" spans="1:15" x14ac:dyDescent="0.25">
      <c r="F46" s="128"/>
      <c r="G46" s="128"/>
      <c r="H46" s="128"/>
      <c r="I46" s="128"/>
      <c r="J46" s="128"/>
      <c r="L46" s="213" t="s">
        <v>134</v>
      </c>
      <c r="M46" s="495"/>
      <c r="N46" s="496"/>
      <c r="O46" s="368" t="s">
        <v>488</v>
      </c>
    </row>
    <row r="47" spans="1:15" ht="41.4" x14ac:dyDescent="0.25">
      <c r="F47" s="128"/>
      <c r="G47" s="128"/>
      <c r="H47" s="128"/>
      <c r="I47" s="128"/>
      <c r="J47" s="128"/>
      <c r="L47" s="213" t="s">
        <v>135</v>
      </c>
      <c r="M47" s="493" t="s">
        <v>407</v>
      </c>
      <c r="N47" s="494"/>
      <c r="O47" s="368" t="s">
        <v>602</v>
      </c>
    </row>
    <row r="48" spans="1:15" x14ac:dyDescent="0.25">
      <c r="F48" s="128"/>
      <c r="G48" s="128"/>
      <c r="H48" s="128"/>
      <c r="I48" s="128"/>
      <c r="J48" s="128"/>
      <c r="L48" s="213" t="s">
        <v>136</v>
      </c>
      <c r="M48" s="495"/>
      <c r="N48" s="496"/>
      <c r="O48" s="368" t="s">
        <v>505</v>
      </c>
    </row>
    <row r="49" spans="2:15" x14ac:dyDescent="0.25">
      <c r="F49" s="128"/>
      <c r="G49" s="128"/>
      <c r="H49" s="128"/>
      <c r="I49" s="128"/>
      <c r="J49" s="128"/>
      <c r="L49" s="213" t="s">
        <v>137</v>
      </c>
      <c r="M49" s="490" t="s">
        <v>113</v>
      </c>
      <c r="N49" s="141" t="s">
        <v>5</v>
      </c>
      <c r="O49" s="486" t="s">
        <v>506</v>
      </c>
    </row>
    <row r="50" spans="2:15" x14ac:dyDescent="0.25">
      <c r="G50" s="128"/>
      <c r="H50" s="128"/>
      <c r="I50" s="128"/>
      <c r="J50" s="128"/>
      <c r="L50" s="213" t="s">
        <v>138</v>
      </c>
      <c r="M50" s="491"/>
      <c r="N50" s="169" t="s">
        <v>89</v>
      </c>
      <c r="O50" s="472"/>
    </row>
    <row r="51" spans="2:15" x14ac:dyDescent="0.25">
      <c r="F51" s="128"/>
      <c r="G51" s="128"/>
      <c r="H51" s="128"/>
      <c r="I51" s="128"/>
      <c r="J51" s="128"/>
      <c r="L51" s="213" t="s">
        <v>139</v>
      </c>
      <c r="M51" s="492"/>
      <c r="N51" s="169" t="s">
        <v>90</v>
      </c>
      <c r="O51" s="487"/>
    </row>
    <row r="52" spans="2:15" ht="41.4" x14ac:dyDescent="0.25">
      <c r="F52" s="128"/>
      <c r="G52" s="128"/>
      <c r="H52" s="128"/>
      <c r="I52" s="128"/>
      <c r="J52" s="128"/>
      <c r="L52" s="213" t="s">
        <v>140</v>
      </c>
      <c r="M52" s="141" t="s">
        <v>107</v>
      </c>
      <c r="N52" s="169" t="s">
        <v>88</v>
      </c>
      <c r="O52" s="368" t="s">
        <v>507</v>
      </c>
    </row>
    <row r="53" spans="2:15" x14ac:dyDescent="0.25">
      <c r="F53" s="128"/>
      <c r="G53" s="128"/>
      <c r="H53" s="128"/>
      <c r="I53" s="128"/>
      <c r="J53" s="128"/>
      <c r="L53" s="213" t="s">
        <v>141</v>
      </c>
      <c r="M53" s="141" t="s">
        <v>87</v>
      </c>
      <c r="N53" s="169" t="s">
        <v>86</v>
      </c>
      <c r="O53" s="368" t="s">
        <v>508</v>
      </c>
    </row>
    <row r="54" spans="2:15" x14ac:dyDescent="0.25">
      <c r="F54" s="128"/>
      <c r="G54" s="128"/>
      <c r="H54" s="128"/>
      <c r="I54" s="128"/>
      <c r="J54" s="128"/>
    </row>
    <row r="55" spans="2:15" x14ac:dyDescent="0.25">
      <c r="B55" s="166"/>
      <c r="C55" s="128"/>
      <c r="D55" s="168"/>
      <c r="E55" s="168"/>
      <c r="F55" s="214"/>
      <c r="G55" s="215"/>
      <c r="H55" s="215"/>
      <c r="I55" s="215"/>
      <c r="J55" s="216"/>
      <c r="K55" s="166"/>
    </row>
    <row r="56" spans="2:15" x14ac:dyDescent="0.25">
      <c r="B56" s="166"/>
      <c r="F56" s="193"/>
      <c r="G56" s="128"/>
      <c r="H56" s="215"/>
      <c r="I56" s="216"/>
      <c r="J56" s="166"/>
    </row>
    <row r="57" spans="2:15" x14ac:dyDescent="0.25">
      <c r="B57" s="166"/>
      <c r="F57" s="193"/>
      <c r="G57" s="128"/>
      <c r="H57" s="215"/>
      <c r="I57" s="216"/>
      <c r="J57" s="166"/>
    </row>
    <row r="58" spans="2:15" x14ac:dyDescent="0.25">
      <c r="B58" s="166"/>
      <c r="F58" s="214"/>
      <c r="G58" s="215"/>
      <c r="H58" s="215"/>
      <c r="I58" s="215"/>
      <c r="J58" s="216"/>
      <c r="K58" s="166"/>
    </row>
    <row r="59" spans="2:15" x14ac:dyDescent="0.25">
      <c r="B59" s="166"/>
      <c r="F59" s="214"/>
      <c r="G59" s="215"/>
      <c r="H59" s="215"/>
      <c r="I59" s="215"/>
      <c r="J59" s="216"/>
      <c r="K59" s="166"/>
    </row>
    <row r="60" spans="2:15" x14ac:dyDescent="0.25">
      <c r="B60" s="166"/>
      <c r="F60" s="214"/>
      <c r="G60" s="215"/>
      <c r="H60" s="215"/>
      <c r="I60" s="215"/>
      <c r="J60" s="216"/>
      <c r="K60" s="166"/>
    </row>
    <row r="61" spans="2:15" x14ac:dyDescent="0.25">
      <c r="B61" s="166"/>
      <c r="F61" s="214"/>
      <c r="G61" s="215"/>
      <c r="H61" s="215"/>
      <c r="I61" s="215"/>
      <c r="J61" s="216"/>
      <c r="K61" s="166"/>
    </row>
    <row r="62" spans="2:15" x14ac:dyDescent="0.25">
      <c r="B62" s="166"/>
      <c r="F62" s="214"/>
      <c r="G62" s="215"/>
      <c r="H62" s="215"/>
      <c r="I62" s="215"/>
      <c r="J62" s="216"/>
      <c r="K62" s="166"/>
    </row>
    <row r="63" spans="2:15" x14ac:dyDescent="0.25">
      <c r="B63" s="166"/>
      <c r="C63" s="215"/>
      <c r="D63" s="168"/>
      <c r="E63" s="168"/>
      <c r="F63" s="214"/>
      <c r="G63" s="215"/>
      <c r="H63" s="215"/>
      <c r="I63" s="215"/>
      <c r="J63" s="216"/>
      <c r="K63" s="166"/>
    </row>
    <row r="64" spans="2:15" x14ac:dyDescent="0.25">
      <c r="B64" s="166"/>
      <c r="C64" s="215"/>
      <c r="D64" s="168"/>
      <c r="E64" s="168"/>
      <c r="F64" s="214"/>
      <c r="G64" s="215"/>
      <c r="H64" s="215"/>
      <c r="I64" s="215"/>
      <c r="J64" s="216"/>
      <c r="K64" s="166"/>
    </row>
    <row r="65" spans="1:11" x14ac:dyDescent="0.25">
      <c r="B65" s="166"/>
      <c r="C65" s="215"/>
      <c r="D65" s="168"/>
      <c r="E65" s="168"/>
      <c r="F65" s="214"/>
      <c r="G65" s="215"/>
      <c r="H65" s="215"/>
      <c r="I65" s="215"/>
      <c r="J65" s="216"/>
      <c r="K65" s="166"/>
    </row>
    <row r="66" spans="1:11" x14ac:dyDescent="0.25">
      <c r="B66" s="166"/>
      <c r="C66" s="215"/>
      <c r="D66" s="168"/>
      <c r="E66" s="168"/>
      <c r="F66" s="214"/>
      <c r="G66" s="215"/>
      <c r="H66" s="215"/>
      <c r="I66" s="215"/>
      <c r="J66" s="216"/>
      <c r="K66" s="166"/>
    </row>
    <row r="67" spans="1:11" x14ac:dyDescent="0.25">
      <c r="B67" s="166"/>
      <c r="C67" s="215"/>
      <c r="D67" s="168"/>
      <c r="E67" s="168"/>
      <c r="F67" s="214"/>
      <c r="G67" s="215"/>
      <c r="H67" s="215"/>
      <c r="I67" s="215"/>
      <c r="J67" s="216"/>
      <c r="K67" s="166"/>
    </row>
    <row r="68" spans="1:11" x14ac:dyDescent="0.25">
      <c r="B68" s="166"/>
      <c r="C68" s="215"/>
      <c r="D68" s="168"/>
      <c r="E68" s="168"/>
      <c r="F68" s="214"/>
      <c r="G68" s="215"/>
      <c r="H68" s="215"/>
      <c r="I68" s="215"/>
      <c r="J68" s="216"/>
      <c r="K68" s="166"/>
    </row>
    <row r="69" spans="1:11" x14ac:dyDescent="0.25">
      <c r="B69" s="166"/>
      <c r="C69" s="215"/>
      <c r="D69" s="168"/>
      <c r="E69" s="168"/>
      <c r="F69" s="214"/>
      <c r="G69" s="215"/>
      <c r="H69" s="215"/>
      <c r="I69" s="215"/>
      <c r="J69" s="216"/>
      <c r="K69" s="166"/>
    </row>
    <row r="70" spans="1:11" x14ac:dyDescent="0.25">
      <c r="B70" s="166"/>
      <c r="C70" s="215"/>
      <c r="D70" s="168"/>
      <c r="E70" s="168"/>
      <c r="F70" s="214"/>
      <c r="G70" s="215"/>
      <c r="H70" s="215"/>
      <c r="I70" s="215"/>
      <c r="J70" s="216"/>
      <c r="K70" s="166"/>
    </row>
    <row r="71" spans="1:11" x14ac:dyDescent="0.25">
      <c r="B71" s="166"/>
      <c r="C71" s="215"/>
      <c r="D71" s="168"/>
      <c r="E71" s="168"/>
      <c r="F71" s="214"/>
      <c r="G71" s="215"/>
      <c r="H71" s="215"/>
      <c r="I71" s="215"/>
      <c r="J71" s="216"/>
      <c r="K71" s="166"/>
    </row>
    <row r="72" spans="1:11" x14ac:dyDescent="0.25">
      <c r="B72" s="166"/>
      <c r="C72" s="215"/>
      <c r="D72" s="168"/>
      <c r="E72" s="168"/>
      <c r="F72" s="214"/>
      <c r="G72" s="215"/>
      <c r="H72" s="215"/>
      <c r="I72" s="215"/>
      <c r="J72" s="216"/>
      <c r="K72" s="166"/>
    </row>
    <row r="73" spans="1:11" x14ac:dyDescent="0.25">
      <c r="B73" s="166"/>
      <c r="C73" s="215"/>
      <c r="D73" s="168"/>
      <c r="E73" s="168"/>
      <c r="F73" s="214"/>
      <c r="G73" s="215"/>
      <c r="H73" s="215"/>
      <c r="I73" s="215"/>
      <c r="J73" s="216"/>
      <c r="K73" s="166"/>
    </row>
    <row r="74" spans="1:11" x14ac:dyDescent="0.25">
      <c r="B74" s="166"/>
      <c r="C74" s="215"/>
      <c r="D74" s="168"/>
      <c r="E74" s="168"/>
      <c r="F74" s="214"/>
      <c r="G74" s="215"/>
      <c r="H74" s="215"/>
      <c r="I74" s="215"/>
      <c r="J74" s="216"/>
      <c r="K74" s="166"/>
    </row>
    <row r="75" spans="1:11" x14ac:dyDescent="0.25">
      <c r="A75" s="166"/>
      <c r="B75" s="166"/>
      <c r="C75" s="215"/>
      <c r="D75" s="168"/>
      <c r="E75" s="168"/>
      <c r="F75" s="214"/>
      <c r="G75" s="215"/>
      <c r="H75" s="215"/>
      <c r="I75" s="215"/>
      <c r="J75" s="216"/>
      <c r="K75" s="166"/>
    </row>
    <row r="76" spans="1:11" x14ac:dyDescent="0.25">
      <c r="A76" s="166"/>
      <c r="B76" s="166"/>
      <c r="C76" s="215"/>
      <c r="D76" s="168"/>
      <c r="E76" s="168"/>
      <c r="F76" s="214"/>
      <c r="G76" s="215"/>
      <c r="H76" s="215"/>
      <c r="I76" s="215"/>
      <c r="J76" s="216"/>
      <c r="K76" s="166"/>
    </row>
    <row r="77" spans="1:11" x14ac:dyDescent="0.25">
      <c r="A77" s="166"/>
      <c r="B77" s="166"/>
      <c r="C77" s="215"/>
      <c r="D77" s="168"/>
      <c r="E77" s="168"/>
      <c r="F77" s="214"/>
      <c r="G77" s="215"/>
      <c r="H77" s="215"/>
      <c r="I77" s="215"/>
      <c r="J77" s="216"/>
      <c r="K77" s="166"/>
    </row>
    <row r="78" spans="1:11" x14ac:dyDescent="0.25">
      <c r="A78" s="166"/>
      <c r="B78" s="166"/>
      <c r="C78" s="215"/>
      <c r="D78" s="168"/>
      <c r="E78" s="168"/>
      <c r="F78" s="214"/>
      <c r="G78" s="215"/>
      <c r="H78" s="215"/>
      <c r="I78" s="215"/>
      <c r="J78" s="216"/>
      <c r="K78" s="166"/>
    </row>
    <row r="79" spans="1:11" x14ac:dyDescent="0.25">
      <c r="A79" s="166"/>
      <c r="B79" s="166"/>
      <c r="C79" s="215"/>
      <c r="D79" s="168"/>
      <c r="E79" s="168"/>
      <c r="F79" s="214"/>
      <c r="G79" s="215"/>
      <c r="H79" s="215"/>
      <c r="I79" s="215"/>
      <c r="J79" s="216"/>
      <c r="K79" s="166"/>
    </row>
    <row r="80" spans="1:11" x14ac:dyDescent="0.25">
      <c r="A80" s="166"/>
      <c r="B80" s="166"/>
      <c r="C80" s="215"/>
      <c r="D80" s="168"/>
      <c r="E80" s="168"/>
      <c r="F80" s="214"/>
      <c r="G80" s="215"/>
      <c r="H80" s="215"/>
      <c r="I80" s="215"/>
      <c r="J80" s="216"/>
      <c r="K80" s="166"/>
    </row>
    <row r="81" spans="1:11" x14ac:dyDescent="0.25">
      <c r="A81" s="166"/>
      <c r="B81" s="166"/>
      <c r="C81" s="215"/>
      <c r="D81" s="168"/>
      <c r="E81" s="168"/>
      <c r="F81" s="214"/>
      <c r="G81" s="215"/>
      <c r="H81" s="215"/>
      <c r="I81" s="215"/>
      <c r="J81" s="216"/>
      <c r="K81" s="166"/>
    </row>
    <row r="82" spans="1:11" x14ac:dyDescent="0.25">
      <c r="A82" s="166"/>
      <c r="B82" s="166"/>
      <c r="C82" s="215"/>
      <c r="D82" s="168"/>
      <c r="E82" s="168"/>
      <c r="F82" s="214"/>
      <c r="G82" s="215"/>
      <c r="H82" s="215"/>
      <c r="I82" s="215"/>
      <c r="J82" s="216"/>
      <c r="K82" s="166"/>
    </row>
    <row r="83" spans="1:11" x14ac:dyDescent="0.25">
      <c r="A83" s="166"/>
      <c r="B83" s="166"/>
      <c r="C83" s="215"/>
      <c r="D83" s="168"/>
      <c r="E83" s="168"/>
      <c r="F83" s="214"/>
      <c r="G83" s="215"/>
      <c r="H83" s="215"/>
      <c r="I83" s="215"/>
      <c r="J83" s="216"/>
      <c r="K83" s="166"/>
    </row>
    <row r="84" spans="1:11" x14ac:dyDescent="0.25">
      <c r="A84" s="166"/>
      <c r="B84" s="166"/>
      <c r="C84" s="215"/>
      <c r="D84" s="168"/>
      <c r="E84" s="168"/>
      <c r="F84" s="214"/>
      <c r="G84" s="215"/>
      <c r="H84" s="215"/>
      <c r="I84" s="215"/>
      <c r="J84" s="216"/>
      <c r="K84" s="166"/>
    </row>
    <row r="85" spans="1:11" x14ac:dyDescent="0.25">
      <c r="K85" s="166"/>
    </row>
    <row r="86" spans="1:11" x14ac:dyDescent="0.25">
      <c r="K86" s="166"/>
    </row>
    <row r="87" spans="1:11" x14ac:dyDescent="0.25">
      <c r="K87" s="166"/>
    </row>
    <row r="88" spans="1:11" x14ac:dyDescent="0.25">
      <c r="K88" s="166"/>
    </row>
    <row r="89" spans="1:11" x14ac:dyDescent="0.25">
      <c r="K89" s="166"/>
    </row>
    <row r="90" spans="1:11" x14ac:dyDescent="0.25">
      <c r="K90" s="166"/>
    </row>
    <row r="91" spans="1:11" x14ac:dyDescent="0.25">
      <c r="K91" s="166"/>
    </row>
    <row r="92" spans="1:11" x14ac:dyDescent="0.25">
      <c r="K92" s="166"/>
    </row>
    <row r="93" spans="1:11" x14ac:dyDescent="0.25">
      <c r="K93" s="166"/>
    </row>
    <row r="94" spans="1:11" x14ac:dyDescent="0.25">
      <c r="K94" s="166"/>
    </row>
    <row r="95" spans="1:11" x14ac:dyDescent="0.25">
      <c r="K95" s="166"/>
    </row>
    <row r="96" spans="1:11" x14ac:dyDescent="0.25">
      <c r="K96" s="166"/>
    </row>
    <row r="97" spans="11:11" x14ac:dyDescent="0.25">
      <c r="K97" s="166"/>
    </row>
    <row r="98" spans="11:11" x14ac:dyDescent="0.25">
      <c r="K98" s="166"/>
    </row>
    <row r="99" spans="11:11" x14ac:dyDescent="0.25">
      <c r="K99" s="166"/>
    </row>
    <row r="100" spans="11:11" x14ac:dyDescent="0.25">
      <c r="K100" s="166"/>
    </row>
    <row r="101" spans="11:11" x14ac:dyDescent="0.25">
      <c r="K101" s="166"/>
    </row>
    <row r="102" spans="11:11" x14ac:dyDescent="0.25">
      <c r="K102" s="166"/>
    </row>
    <row r="103" spans="11:11" x14ac:dyDescent="0.25">
      <c r="K103" s="166"/>
    </row>
    <row r="104" spans="11:11" x14ac:dyDescent="0.25">
      <c r="K104" s="166"/>
    </row>
    <row r="105" spans="11:11" x14ac:dyDescent="0.25">
      <c r="K105" s="166"/>
    </row>
  </sheetData>
  <sheetProtection selectLockedCells="1"/>
  <mergeCells count="41">
    <mergeCell ref="I20:I23"/>
    <mergeCell ref="J20:J23"/>
    <mergeCell ref="H33:H34"/>
    <mergeCell ref="I33:I34"/>
    <mergeCell ref="J33:J34"/>
    <mergeCell ref="F33:F34"/>
    <mergeCell ref="G33:G34"/>
    <mergeCell ref="F14:H14"/>
    <mergeCell ref="D14:E15"/>
    <mergeCell ref="D20:D23"/>
    <mergeCell ref="E20:E23"/>
    <mergeCell ref="F20:F23"/>
    <mergeCell ref="G20:G23"/>
    <mergeCell ref="H20:H23"/>
    <mergeCell ref="D38:D40"/>
    <mergeCell ref="E38:E40"/>
    <mergeCell ref="A14:A15"/>
    <mergeCell ref="D33:D34"/>
    <mergeCell ref="E33:E34"/>
    <mergeCell ref="B14:C15"/>
    <mergeCell ref="A33:A34"/>
    <mergeCell ref="A35:A37"/>
    <mergeCell ref="A38:A40"/>
    <mergeCell ref="D35:D37"/>
    <mergeCell ref="E35:E37"/>
    <mergeCell ref="A20:A23"/>
    <mergeCell ref="I35:I37"/>
    <mergeCell ref="J35:J37"/>
    <mergeCell ref="F38:F40"/>
    <mergeCell ref="O49:O51"/>
    <mergeCell ref="M44:N44"/>
    <mergeCell ref="M49:M51"/>
    <mergeCell ref="M47:N48"/>
    <mergeCell ref="M45:N46"/>
    <mergeCell ref="I38:I40"/>
    <mergeCell ref="J38:J40"/>
    <mergeCell ref="G38:G40"/>
    <mergeCell ref="H38:H40"/>
    <mergeCell ref="F35:F37"/>
    <mergeCell ref="G35:G37"/>
    <mergeCell ref="H35:H37"/>
  </mergeCells>
  <phoneticPr fontId="3" type="noConversion"/>
  <conditionalFormatting sqref="F35:H35 J35 J38">
    <cfRule type="expression" dxfId="131" priority="584" stopIfTrue="1">
      <formula>$C$35="Investigate how the lighting is controlled"</formula>
    </cfRule>
    <cfRule type="expression" dxfId="130" priority="585" stopIfTrue="1">
      <formula>$C$35="no action required"</formula>
    </cfRule>
  </conditionalFormatting>
  <conditionalFormatting sqref="H29:H32 H16:H20 H24:H27">
    <cfRule type="expression" dxfId="129" priority="611" stopIfTrue="1">
      <formula>$D$20="No action required"</formula>
    </cfRule>
  </conditionalFormatting>
  <conditionalFormatting sqref="F28:J28 F33:J34 I35">
    <cfRule type="expression" dxfId="128" priority="615" stopIfTrue="1">
      <formula>$D$28="Investigate the load factor % per active PDU/transformer"</formula>
    </cfRule>
    <cfRule type="expression" dxfId="127" priority="616" stopIfTrue="1">
      <formula>$D$28="No action required"</formula>
    </cfRule>
  </conditionalFormatting>
  <conditionalFormatting sqref="C16:C40">
    <cfRule type="containsText" dxfId="126" priority="40" stopIfTrue="1" operator="containsText" text="action">
      <formula>NOT(ISERROR(SEARCH("action",C16)))</formula>
    </cfRule>
    <cfRule type="containsText" dxfId="125" priority="41" stopIfTrue="1" operator="containsText" text="evaluate">
      <formula>NOT(ISERROR(SEARCH("evaluate",C16)))</formula>
    </cfRule>
    <cfRule type="containsText" dxfId="124" priority="42" stopIfTrue="1" operator="containsText" text="Retrofit">
      <formula>NOT(ISERROR(SEARCH("Retrofit",C16)))</formula>
    </cfRule>
  </conditionalFormatting>
  <conditionalFormatting sqref="F38:H38">
    <cfRule type="expression" dxfId="123" priority="5" stopIfTrue="1">
      <formula>$C$35="Investigate how the lighting is controlled"</formula>
    </cfRule>
    <cfRule type="expression" dxfId="122" priority="6" stopIfTrue="1">
      <formula>$C$35="no action required"</formula>
    </cfRule>
  </conditionalFormatting>
  <conditionalFormatting sqref="I38">
    <cfRule type="expression" dxfId="121" priority="7" stopIfTrue="1">
      <formula>$D$28="Investigate the load factor % per active PDU/transformer"</formula>
    </cfRule>
    <cfRule type="expression" dxfId="120" priority="8" stopIfTrue="1">
      <formula>$D$28="No action required"</formula>
    </cfRule>
  </conditionalFormatting>
  <conditionalFormatting sqref="F29:G32 I29:J32 I16:J20 F16:G20 I24:J27 F24:G27">
    <cfRule type="expression" dxfId="119" priority="617" stopIfTrue="1">
      <formula>$C$23="Evaluate UPS efficiency at 50% load factor. Refer to UPS efficiency chart as guide."</formula>
    </cfRule>
    <cfRule type="expression" dxfId="118" priority="618" stopIfTrue="1">
      <formula>$C$23="No action required"</formula>
    </cfRule>
  </conditionalFormatting>
  <conditionalFormatting sqref="I29:I32 I16:I20 I24:I27">
    <cfRule type="expression" dxfId="117" priority="629" stopIfTrue="1">
      <formula>$C$23="Retrofit UPS for more efficient ones"</formula>
    </cfRule>
  </conditionalFormatting>
  <dataValidations xWindow="370" yWindow="814" count="1">
    <dataValidation type="whole" operator="greaterThanOrEqual" allowBlank="1" showInputMessage="1" showErrorMessage="1" prompt="Please enter the estimated implementation cost for the pursued action." sqref="I38 I25:I35 I16:I20" xr:uid="{00000000-0002-0000-0300-000000000000}">
      <formula1>0</formula1>
    </dataValidation>
  </dataValidations>
  <pageMargins left="0.75" right="0.75" top="1" bottom="1" header="0.5" footer="0.5"/>
  <pageSetup scale="41"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370" yWindow="814" count="2">
        <x14:dataValidation type="list" showInputMessage="1" showErrorMessage="1" prompt="Please select an input from the drop-down list." xr:uid="{00000000-0002-0000-0300-000001000000}">
          <x14:formula1>
            <xm:f>'Table BB'!$P$77:$P$80</xm:f>
          </x14:formula1>
          <xm:sqref>E28</xm:sqref>
        </x14:dataValidation>
        <x14:dataValidation type="list" showInputMessage="1" showErrorMessage="1" prompt="Please select an input from the drop-down list." xr:uid="{00000000-0002-0000-0300-000002000000}">
          <x14:formula1>
            <xm:f>'Table BB'!$P$40:$P$50</xm:f>
          </x14:formula1>
          <xm:sqref>E20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H23"/>
  <sheetViews>
    <sheetView showGridLines="0" workbookViewId="0"/>
  </sheetViews>
  <sheetFormatPr defaultColWidth="9.109375" defaultRowHeight="13.8" x14ac:dyDescent="0.3"/>
  <cols>
    <col min="1" max="1" width="16.33203125" style="220" customWidth="1"/>
    <col min="2" max="2" width="12.109375" style="220" customWidth="1"/>
    <col min="3" max="3" width="11.88671875" style="220" customWidth="1"/>
    <col min="4" max="4" width="4.109375" style="220" customWidth="1"/>
    <col min="5" max="5" width="7.88671875" style="220" customWidth="1"/>
    <col min="6" max="6" width="7.6640625" style="220" customWidth="1"/>
    <col min="7" max="7" width="7.88671875" style="220" customWidth="1"/>
    <col min="8" max="8" width="51.6640625" style="220" customWidth="1"/>
    <col min="9" max="9" width="9" style="220" customWidth="1"/>
    <col min="10" max="16384" width="9.109375" style="220"/>
  </cols>
  <sheetData>
    <row r="1" spans="1:8" ht="21.6" x14ac:dyDescent="0.3">
      <c r="A1" s="218" t="s">
        <v>248</v>
      </c>
      <c r="B1" s="219"/>
      <c r="C1" s="219"/>
      <c r="D1" s="219"/>
      <c r="E1" s="219"/>
      <c r="F1" s="219"/>
      <c r="G1" s="219"/>
      <c r="H1" s="219"/>
    </row>
    <row r="2" spans="1:8" x14ac:dyDescent="0.3">
      <c r="A2" s="221" t="s">
        <v>588</v>
      </c>
    </row>
    <row r="3" spans="1:8" x14ac:dyDescent="0.3">
      <c r="A3" s="129" t="s">
        <v>590</v>
      </c>
    </row>
    <row r="4" spans="1:8" x14ac:dyDescent="0.3">
      <c r="A4" s="129" t="s">
        <v>484</v>
      </c>
    </row>
    <row r="5" spans="1:8" x14ac:dyDescent="0.3">
      <c r="A5" s="129" t="s">
        <v>485</v>
      </c>
    </row>
    <row r="8" spans="1:8" ht="21.6" x14ac:dyDescent="0.3">
      <c r="A8" s="132" t="s">
        <v>249</v>
      </c>
      <c r="B8" s="217"/>
      <c r="C8" s="217"/>
    </row>
    <row r="9" spans="1:8" ht="16.5" customHeight="1" x14ac:dyDescent="0.3">
      <c r="A9" s="199" t="s">
        <v>278</v>
      </c>
      <c r="B9" s="199" t="s">
        <v>279</v>
      </c>
      <c r="C9" s="199" t="s">
        <v>280</v>
      </c>
    </row>
    <row r="10" spans="1:8" ht="21.75" customHeight="1" x14ac:dyDescent="0.3">
      <c r="A10" s="506" t="s">
        <v>271</v>
      </c>
      <c r="B10" s="526" t="s">
        <v>91</v>
      </c>
      <c r="C10" s="527"/>
      <c r="F10" s="140"/>
      <c r="G10" s="133"/>
    </row>
    <row r="11" spans="1:8" ht="21.75" customHeight="1" x14ac:dyDescent="0.3">
      <c r="A11" s="506"/>
      <c r="B11" s="135" t="s">
        <v>89</v>
      </c>
      <c r="C11" s="135" t="s">
        <v>90</v>
      </c>
    </row>
    <row r="12" spans="1:8" x14ac:dyDescent="0.3">
      <c r="A12" s="142" t="s">
        <v>253</v>
      </c>
      <c r="B12" s="222">
        <f>'Table DD'!I11</f>
        <v>300000</v>
      </c>
      <c r="C12" s="223">
        <f>'Table DD'!J11</f>
        <v>45000</v>
      </c>
    </row>
    <row r="13" spans="1:8" x14ac:dyDescent="0.3">
      <c r="A13" s="142" t="s">
        <v>281</v>
      </c>
      <c r="B13" s="222">
        <f>'Table DD'!I12</f>
        <v>825000</v>
      </c>
      <c r="C13" s="223">
        <f>'Table DD'!J12</f>
        <v>123750</v>
      </c>
    </row>
    <row r="14" spans="1:8" x14ac:dyDescent="0.3">
      <c r="A14" s="142" t="s">
        <v>254</v>
      </c>
      <c r="B14" s="222">
        <f>'Table DD'!I13</f>
        <v>1125000</v>
      </c>
      <c r="C14" s="223">
        <f>'Table DD'!J13</f>
        <v>168750</v>
      </c>
    </row>
    <row r="15" spans="1:8" x14ac:dyDescent="0.3">
      <c r="A15" s="215"/>
      <c r="B15" s="168"/>
      <c r="C15" s="168"/>
    </row>
    <row r="16" spans="1:8" ht="21.6" x14ac:dyDescent="0.3">
      <c r="B16" s="168"/>
      <c r="C16" s="168"/>
      <c r="E16" s="132" t="s">
        <v>277</v>
      </c>
      <c r="F16" s="166"/>
      <c r="G16" s="166"/>
      <c r="H16" s="145"/>
    </row>
    <row r="17" spans="2:8" x14ac:dyDescent="0.3">
      <c r="B17" s="168"/>
      <c r="C17" s="168"/>
      <c r="E17" s="135" t="s">
        <v>172</v>
      </c>
      <c r="F17" s="128"/>
      <c r="G17" s="128"/>
      <c r="H17" s="128"/>
    </row>
    <row r="18" spans="2:8" x14ac:dyDescent="0.3">
      <c r="B18" s="168"/>
      <c r="C18" s="168"/>
      <c r="E18" s="136" t="s">
        <v>278</v>
      </c>
      <c r="F18" s="528" t="s">
        <v>271</v>
      </c>
      <c r="G18" s="529"/>
      <c r="H18" s="142" t="s">
        <v>446</v>
      </c>
    </row>
    <row r="19" spans="2:8" x14ac:dyDescent="0.3">
      <c r="B19" s="168"/>
      <c r="C19" s="168"/>
      <c r="E19" s="136" t="s">
        <v>279</v>
      </c>
      <c r="F19" s="490" t="s">
        <v>91</v>
      </c>
      <c r="G19" s="169" t="s">
        <v>89</v>
      </c>
      <c r="H19" s="142" t="s">
        <v>482</v>
      </c>
    </row>
    <row r="20" spans="2:8" x14ac:dyDescent="0.3">
      <c r="E20" s="136" t="s">
        <v>280</v>
      </c>
      <c r="F20" s="492"/>
      <c r="G20" s="169" t="s">
        <v>90</v>
      </c>
      <c r="H20" s="142" t="s">
        <v>483</v>
      </c>
    </row>
    <row r="23" spans="2:8" x14ac:dyDescent="0.3">
      <c r="F23" s="224"/>
    </row>
  </sheetData>
  <mergeCells count="4">
    <mergeCell ref="B10:C10"/>
    <mergeCell ref="A10:A11"/>
    <mergeCell ref="F18:G18"/>
    <mergeCell ref="F19:F20"/>
  </mergeCells>
  <conditionalFormatting sqref="C12:C14">
    <cfRule type="expression" dxfId="116" priority="606" stopIfTrue="1">
      <formula>#REF!="Evaluate UPS efficiency at 50% load factor. Refer to UPS efficiency chart as guide."</formula>
    </cfRule>
    <cfRule type="expression" dxfId="115" priority="607" stopIfTrue="1">
      <formula>#REF!="No action required"</formula>
    </cfRule>
  </conditionalFormatting>
  <conditionalFormatting sqref="C12:C14">
    <cfRule type="expression" dxfId="114" priority="608" stopIfTrue="1">
      <formula>#REF!="Retrofit UPS for more efficient ones"</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tint="-0.499984740745262"/>
    <pageSetUpPr fitToPage="1"/>
  </sheetPr>
  <dimension ref="A1:P43"/>
  <sheetViews>
    <sheetView showGridLines="0" zoomScaleNormal="100" zoomScaleSheetLayoutView="100" workbookViewId="0"/>
  </sheetViews>
  <sheetFormatPr defaultColWidth="9.109375" defaultRowHeight="13.8" x14ac:dyDescent="0.25"/>
  <cols>
    <col min="1" max="11" width="9.109375" style="4"/>
    <col min="12" max="12" width="11.33203125" style="4" customWidth="1"/>
    <col min="13" max="16384" width="9.109375" style="4"/>
  </cols>
  <sheetData>
    <row r="1" spans="1:16" ht="21.6" x14ac:dyDescent="0.35">
      <c r="A1" s="112" t="s">
        <v>56</v>
      </c>
      <c r="B1" s="114"/>
      <c r="C1" s="114"/>
      <c r="D1" s="114"/>
      <c r="E1" s="114"/>
      <c r="F1" s="114"/>
      <c r="G1" s="114"/>
      <c r="H1" s="114"/>
      <c r="I1" s="114"/>
      <c r="J1" s="114"/>
      <c r="K1" s="114"/>
      <c r="L1" s="114"/>
      <c r="M1" s="114"/>
      <c r="O1" s="373"/>
    </row>
    <row r="2" spans="1:16" x14ac:dyDescent="0.25">
      <c r="A2" s="8" t="s">
        <v>57</v>
      </c>
      <c r="B2" s="8"/>
      <c r="C2" s="8"/>
      <c r="F2" s="5"/>
      <c r="G2" s="5"/>
      <c r="H2" s="5"/>
      <c r="O2" s="408"/>
      <c r="P2" s="5"/>
    </row>
    <row r="3" spans="1:16" x14ac:dyDescent="0.25">
      <c r="A3" s="8" t="s">
        <v>337</v>
      </c>
      <c r="B3" s="8"/>
      <c r="C3" s="8"/>
    </row>
    <row r="4" spans="1:16" x14ac:dyDescent="0.25">
      <c r="A4" s="8" t="s">
        <v>603</v>
      </c>
      <c r="B4" s="8"/>
      <c r="C4" s="8"/>
    </row>
    <row r="5" spans="1:16" x14ac:dyDescent="0.25">
      <c r="A5" s="8" t="s">
        <v>604</v>
      </c>
      <c r="B5" s="8"/>
      <c r="C5" s="8"/>
    </row>
    <row r="6" spans="1:16" x14ac:dyDescent="0.25">
      <c r="A6" s="8" t="s">
        <v>605</v>
      </c>
      <c r="B6" s="8"/>
      <c r="C6" s="8"/>
    </row>
    <row r="7" spans="1:16" x14ac:dyDescent="0.25">
      <c r="A7" s="8"/>
      <c r="B7" s="8"/>
      <c r="C7" s="8"/>
    </row>
    <row r="8" spans="1:16" x14ac:dyDescent="0.25">
      <c r="A8" s="8"/>
      <c r="B8" s="8"/>
      <c r="C8" s="8"/>
    </row>
    <row r="9" spans="1:16" x14ac:dyDescent="0.25">
      <c r="A9" s="8"/>
      <c r="B9" s="8"/>
      <c r="C9" s="8"/>
    </row>
    <row r="10" spans="1:16" x14ac:dyDescent="0.25">
      <c r="A10" s="8"/>
      <c r="B10" s="8"/>
      <c r="C10" s="8"/>
    </row>
    <row r="11" spans="1:16" x14ac:dyDescent="0.25">
      <c r="A11" s="8"/>
      <c r="B11" s="8"/>
      <c r="C11" s="8"/>
    </row>
    <row r="12" spans="1:16" x14ac:dyDescent="0.25">
      <c r="A12" s="8"/>
      <c r="B12" s="8"/>
      <c r="C12" s="8"/>
    </row>
    <row r="13" spans="1:16" x14ac:dyDescent="0.25">
      <c r="A13" s="8"/>
      <c r="B13" s="8"/>
      <c r="C13" s="8"/>
    </row>
    <row r="14" spans="1:16" x14ac:dyDescent="0.25">
      <c r="A14" s="8"/>
      <c r="B14" s="8"/>
      <c r="C14" s="8"/>
    </row>
    <row r="15" spans="1:16" x14ac:dyDescent="0.25">
      <c r="A15" s="8"/>
      <c r="B15" s="8"/>
      <c r="C15" s="8"/>
    </row>
    <row r="16" spans="1:16" x14ac:dyDescent="0.25">
      <c r="A16" s="8"/>
      <c r="B16" s="8"/>
      <c r="C16" s="8"/>
    </row>
    <row r="17" spans="1:3" x14ac:dyDescent="0.25">
      <c r="A17" s="8"/>
      <c r="B17" s="8"/>
      <c r="C17" s="8"/>
    </row>
    <row r="18" spans="1:3" x14ac:dyDescent="0.25">
      <c r="A18" s="8"/>
      <c r="B18" s="8"/>
      <c r="C18" s="8"/>
    </row>
    <row r="19" spans="1:3" x14ac:dyDescent="0.25">
      <c r="A19" s="8"/>
      <c r="B19" s="8"/>
      <c r="C19" s="8"/>
    </row>
    <row r="20" spans="1:3" x14ac:dyDescent="0.25">
      <c r="A20" s="8"/>
      <c r="B20" s="8"/>
      <c r="C20" s="8"/>
    </row>
    <row r="21" spans="1:3" x14ac:dyDescent="0.25">
      <c r="A21" s="8"/>
      <c r="B21" s="8"/>
    </row>
    <row r="22" spans="1:3" x14ac:dyDescent="0.25">
      <c r="A22" s="8"/>
      <c r="B22" s="8"/>
    </row>
    <row r="23" spans="1:3" x14ac:dyDescent="0.25">
      <c r="A23" s="8"/>
      <c r="B23" s="8"/>
    </row>
    <row r="24" spans="1:3" x14ac:dyDescent="0.25">
      <c r="A24" s="8"/>
      <c r="B24" s="8"/>
    </row>
    <row r="25" spans="1:3" x14ac:dyDescent="0.25">
      <c r="A25" s="8"/>
      <c r="B25" s="8"/>
    </row>
    <row r="26" spans="1:3" x14ac:dyDescent="0.25">
      <c r="A26" s="8"/>
      <c r="B26" s="8"/>
    </row>
    <row r="27" spans="1:3" x14ac:dyDescent="0.25">
      <c r="A27" s="8"/>
      <c r="B27" s="8"/>
    </row>
    <row r="28" spans="1:3" x14ac:dyDescent="0.25">
      <c r="A28" s="8"/>
      <c r="B28" s="8"/>
    </row>
    <row r="29" spans="1:3" x14ac:dyDescent="0.25">
      <c r="A29" s="8"/>
      <c r="B29" s="8"/>
    </row>
    <row r="30" spans="1:3" x14ac:dyDescent="0.25">
      <c r="A30" s="8"/>
      <c r="B30" s="8"/>
    </row>
    <row r="31" spans="1:3" x14ac:dyDescent="0.25">
      <c r="A31" s="8"/>
      <c r="B31" s="8"/>
    </row>
    <row r="32" spans="1:3" x14ac:dyDescent="0.25">
      <c r="A32" s="8"/>
      <c r="B32" s="8"/>
    </row>
    <row r="33" spans="1:2" x14ac:dyDescent="0.25">
      <c r="A33" s="8"/>
      <c r="B33" s="8"/>
    </row>
    <row r="34" spans="1:2" x14ac:dyDescent="0.25">
      <c r="A34" s="8"/>
      <c r="B34" s="8"/>
    </row>
    <row r="35" spans="1:2" x14ac:dyDescent="0.25">
      <c r="A35" s="8"/>
      <c r="B35" s="8"/>
    </row>
    <row r="36" spans="1:2" x14ac:dyDescent="0.25">
      <c r="A36" s="8"/>
      <c r="B36" s="8"/>
    </row>
    <row r="37" spans="1:2" x14ac:dyDescent="0.25">
      <c r="A37" s="8"/>
      <c r="B37" s="8"/>
    </row>
    <row r="38" spans="1:2" x14ac:dyDescent="0.25">
      <c r="A38" s="8"/>
      <c r="B38" s="8"/>
    </row>
    <row r="39" spans="1:2" x14ac:dyDescent="0.25">
      <c r="A39" s="8"/>
      <c r="B39" s="8"/>
    </row>
    <row r="40" spans="1:2" x14ac:dyDescent="0.25">
      <c r="A40" s="8"/>
      <c r="B40" s="8"/>
    </row>
    <row r="41" spans="1:2" x14ac:dyDescent="0.25">
      <c r="A41" s="8"/>
      <c r="B41" s="8"/>
    </row>
    <row r="42" spans="1:2" x14ac:dyDescent="0.25">
      <c r="A42" s="8"/>
      <c r="B42" s="8"/>
    </row>
    <row r="43" spans="1:2" x14ac:dyDescent="0.25">
      <c r="A43" s="8"/>
      <c r="B43" s="8"/>
    </row>
  </sheetData>
  <sheetProtection selectLockedCells="1" selectUnlockedCells="1"/>
  <phoneticPr fontId="3" type="noConversion"/>
  <pageMargins left="0.75" right="0.75" top="1" bottom="1" header="0.5" footer="0.5"/>
  <pageSetup scale="8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2">
    <tabColor rgb="FF7030A0"/>
    <pageSetUpPr fitToPage="1"/>
  </sheetPr>
  <dimension ref="A1:CA39"/>
  <sheetViews>
    <sheetView showGridLines="0" zoomScaleNormal="100" zoomScaleSheetLayoutView="75" workbookViewId="0"/>
  </sheetViews>
  <sheetFormatPr defaultColWidth="9.109375" defaultRowHeight="13.8" x14ac:dyDescent="0.3"/>
  <cols>
    <col min="1" max="1" width="8.6640625" style="107" customWidth="1"/>
    <col min="2" max="2" width="11.109375" style="107" customWidth="1"/>
    <col min="3" max="5" width="8.6640625" style="107" customWidth="1"/>
    <col min="6" max="15" width="8.6640625" style="105" customWidth="1"/>
    <col min="16" max="16" width="8.6640625" style="21" customWidth="1"/>
    <col min="17" max="17" width="9.109375" style="21" customWidth="1"/>
    <col min="18" max="18" width="13.44140625" style="106" customWidth="1"/>
    <col min="19" max="19" width="10.44140625" style="106" customWidth="1"/>
    <col min="20" max="20" width="9.109375" style="106" customWidth="1"/>
    <col min="21" max="79" width="9.109375" style="22" customWidth="1"/>
    <col min="80" max="16384" width="9.109375" style="107"/>
  </cols>
  <sheetData>
    <row r="1" spans="1:79" ht="22.5" customHeight="1" x14ac:dyDescent="0.3">
      <c r="A1" s="99" t="s">
        <v>445</v>
      </c>
      <c r="B1" s="103"/>
      <c r="C1" s="103"/>
      <c r="D1" s="103"/>
      <c r="E1" s="103"/>
      <c r="F1" s="104"/>
      <c r="G1" s="104"/>
      <c r="H1" s="104"/>
      <c r="I1" s="104"/>
      <c r="J1" s="104"/>
      <c r="K1" s="104"/>
      <c r="L1" s="104"/>
      <c r="M1" s="104"/>
      <c r="N1" s="111"/>
      <c r="O1" s="21"/>
    </row>
    <row r="2" spans="1:79" ht="12.75" customHeight="1" x14ac:dyDescent="0.3">
      <c r="A2" s="5" t="s">
        <v>598</v>
      </c>
      <c r="B2" s="5"/>
      <c r="C2" s="5"/>
      <c r="D2" s="5"/>
      <c r="E2" s="5"/>
      <c r="F2" s="5"/>
      <c r="G2" s="5"/>
      <c r="H2" s="5"/>
      <c r="I2" s="5"/>
      <c r="J2" s="5"/>
      <c r="K2" s="5"/>
      <c r="L2" s="5"/>
      <c r="N2" s="107"/>
      <c r="O2" s="21"/>
    </row>
    <row r="3" spans="1:79" ht="12.75" customHeight="1" x14ac:dyDescent="0.3">
      <c r="A3" s="5"/>
      <c r="B3" s="5"/>
      <c r="C3" s="5"/>
      <c r="D3" s="5"/>
      <c r="E3" s="5"/>
      <c r="F3" s="5"/>
      <c r="G3" s="5"/>
      <c r="H3" s="5"/>
      <c r="I3" s="5"/>
      <c r="J3" s="5"/>
      <c r="K3" s="5"/>
      <c r="L3" s="5"/>
      <c r="N3" s="107"/>
      <c r="O3" s="21"/>
    </row>
    <row r="4" spans="1:79" ht="15" customHeight="1" x14ac:dyDescent="0.3">
      <c r="A4" s="22"/>
      <c r="G4" s="108"/>
      <c r="O4" s="21"/>
    </row>
    <row r="5" spans="1:79" ht="16.5" customHeight="1" x14ac:dyDescent="0.3">
      <c r="B5" s="421" t="s">
        <v>599</v>
      </c>
      <c r="C5" s="381">
        <v>0.1</v>
      </c>
      <c r="D5" s="381">
        <v>0.2</v>
      </c>
      <c r="E5" s="381">
        <v>0.3</v>
      </c>
      <c r="F5" s="381">
        <v>0.4</v>
      </c>
      <c r="G5" s="381">
        <v>0.5</v>
      </c>
      <c r="H5" s="381">
        <v>0.6</v>
      </c>
      <c r="I5" s="381">
        <v>0.7</v>
      </c>
      <c r="J5" s="381">
        <v>0.8</v>
      </c>
      <c r="K5" s="381">
        <v>0.9</v>
      </c>
      <c r="L5" s="381">
        <v>1</v>
      </c>
      <c r="M5" s="21"/>
      <c r="N5" s="21"/>
      <c r="O5" s="106"/>
      <c r="P5" s="100"/>
      <c r="Q5" s="100"/>
      <c r="R5" s="100"/>
      <c r="S5" s="100"/>
      <c r="T5" s="100"/>
      <c r="U5" s="100"/>
      <c r="V5" s="100"/>
      <c r="W5" s="100"/>
      <c r="X5" s="100"/>
      <c r="BY5" s="107"/>
      <c r="BZ5" s="107"/>
      <c r="CA5" s="107"/>
    </row>
    <row r="6" spans="1:79" ht="18.75" customHeight="1" x14ac:dyDescent="0.3">
      <c r="B6" s="412" t="s">
        <v>600</v>
      </c>
      <c r="C6" s="380">
        <f>UPS_data!E20</f>
        <v>0.89833333333333343</v>
      </c>
      <c r="D6" s="380">
        <f>UPS_data!F20</f>
        <v>0.94233333333333336</v>
      </c>
      <c r="E6" s="380">
        <f>UPS_data!H20</f>
        <v>0.95616666666666672</v>
      </c>
      <c r="F6" s="380">
        <f>UPS_data!I20</f>
        <v>0.96113333333333328</v>
      </c>
      <c r="G6" s="380">
        <f>UPS_data!J20</f>
        <v>0.96333333333333337</v>
      </c>
      <c r="H6" s="380">
        <f>UPS_data!K20</f>
        <v>0.96436666666666671</v>
      </c>
      <c r="I6" s="380">
        <f>UPS_data!L20</f>
        <v>0.96496666666666675</v>
      </c>
      <c r="J6" s="380">
        <f>UPS_data!N20</f>
        <v>0.96490000000000009</v>
      </c>
      <c r="K6" s="380">
        <f>UPS_data!O20</f>
        <v>0.96473333333333322</v>
      </c>
      <c r="L6" s="380">
        <f>UPS_data!P20</f>
        <v>0.96466666666666667</v>
      </c>
      <c r="M6" s="21"/>
      <c r="N6" s="21"/>
      <c r="O6" s="106"/>
      <c r="P6" s="106"/>
      <c r="Q6" s="106"/>
      <c r="R6" s="22"/>
      <c r="S6" s="22"/>
      <c r="T6" s="22"/>
      <c r="BY6" s="107"/>
      <c r="BZ6" s="107"/>
      <c r="CA6" s="107"/>
    </row>
    <row r="7" spans="1:79" s="21" customFormat="1" x14ac:dyDescent="0.3">
      <c r="B7" s="110"/>
      <c r="C7" s="110"/>
      <c r="D7" s="110"/>
      <c r="E7" s="22"/>
      <c r="F7" s="22"/>
      <c r="G7" s="22"/>
      <c r="H7" s="22"/>
      <c r="I7" s="22"/>
      <c r="J7" s="22"/>
      <c r="K7" s="22"/>
      <c r="L7" s="22"/>
      <c r="M7" s="22"/>
      <c r="N7" s="22"/>
      <c r="O7" s="105"/>
      <c r="P7" s="109"/>
      <c r="R7" s="22"/>
      <c r="S7" s="101"/>
      <c r="T7" s="106"/>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row>
    <row r="8" spans="1:79" x14ac:dyDescent="0.3">
      <c r="E8" s="105"/>
      <c r="P8" s="109"/>
      <c r="R8" s="22"/>
      <c r="S8" s="101"/>
    </row>
    <row r="9" spans="1:79" ht="12.6" customHeight="1" x14ac:dyDescent="0.3">
      <c r="E9" s="105"/>
      <c r="M9" s="102"/>
      <c r="R9" s="22"/>
      <c r="S9" s="101"/>
    </row>
    <row r="10" spans="1:79" ht="12.6" customHeight="1" x14ac:dyDescent="0.3">
      <c r="E10" s="105"/>
      <c r="M10" s="102"/>
      <c r="R10" s="22"/>
      <c r="S10" s="101"/>
    </row>
    <row r="11" spans="1:79" ht="12.6" customHeight="1" x14ac:dyDescent="0.3">
      <c r="E11" s="105"/>
      <c r="M11" s="102"/>
      <c r="R11" s="22"/>
      <c r="S11" s="101"/>
    </row>
    <row r="12" spans="1:79" ht="12.6" customHeight="1" x14ac:dyDescent="0.3">
      <c r="M12" s="102"/>
      <c r="S12" s="101"/>
    </row>
    <row r="13" spans="1:79" ht="12.6" customHeight="1" x14ac:dyDescent="0.3">
      <c r="M13" s="102"/>
      <c r="S13" s="101"/>
    </row>
    <row r="14" spans="1:79" ht="12.6" customHeight="1" x14ac:dyDescent="0.3">
      <c r="M14" s="102"/>
      <c r="S14" s="101"/>
    </row>
    <row r="15" spans="1:79" ht="12.6" customHeight="1" x14ac:dyDescent="0.3">
      <c r="M15" s="102"/>
      <c r="R15" s="102"/>
      <c r="S15" s="101"/>
    </row>
    <row r="16" spans="1:79" ht="12.6" customHeight="1" x14ac:dyDescent="0.3">
      <c r="M16" s="102"/>
      <c r="R16" s="102"/>
    </row>
    <row r="17" spans="13:18" ht="12.6" customHeight="1" x14ac:dyDescent="0.3">
      <c r="M17" s="102"/>
      <c r="R17" s="102"/>
    </row>
    <row r="18" spans="13:18" ht="12.6" customHeight="1" x14ac:dyDescent="0.3">
      <c r="M18" s="102"/>
      <c r="R18" s="102"/>
    </row>
    <row r="19" spans="13:18" ht="12.6" customHeight="1" x14ac:dyDescent="0.3">
      <c r="R19" s="102"/>
    </row>
    <row r="20" spans="13:18" ht="12.6" customHeight="1" x14ac:dyDescent="0.3">
      <c r="R20" s="102"/>
    </row>
    <row r="21" spans="13:18" ht="12.6" customHeight="1" x14ac:dyDescent="0.3">
      <c r="R21" s="102"/>
    </row>
    <row r="22" spans="13:18" ht="12.6" customHeight="1" x14ac:dyDescent="0.3">
      <c r="R22" s="102"/>
    </row>
    <row r="23" spans="13:18" ht="12.6" customHeight="1" x14ac:dyDescent="0.3">
      <c r="R23" s="102"/>
    </row>
    <row r="24" spans="13:18" ht="12.6" customHeight="1" x14ac:dyDescent="0.3">
      <c r="R24" s="102"/>
    </row>
    <row r="25" spans="13:18" ht="12.6" customHeight="1" x14ac:dyDescent="0.3"/>
    <row r="26" spans="13:18" ht="12.6" customHeight="1" x14ac:dyDescent="0.3"/>
    <row r="27" spans="13:18" ht="12.6" customHeight="1" x14ac:dyDescent="0.3"/>
    <row r="28" spans="13:18" ht="12.6" customHeight="1" x14ac:dyDescent="0.3"/>
    <row r="29" spans="13:18" ht="12.6" customHeight="1" x14ac:dyDescent="0.3"/>
    <row r="30" spans="13:18" ht="12.6" customHeight="1" x14ac:dyDescent="0.3"/>
    <row r="31" spans="13:18" ht="12.6" customHeight="1" x14ac:dyDescent="0.3"/>
    <row r="32" spans="13:18" ht="12.6" customHeight="1" x14ac:dyDescent="0.3"/>
    <row r="33" ht="12.6" customHeight="1" x14ac:dyDescent="0.3"/>
    <row r="34" ht="12.6" customHeight="1" x14ac:dyDescent="0.3"/>
    <row r="35" ht="12.6" customHeight="1" x14ac:dyDescent="0.3"/>
    <row r="36" ht="12.6" customHeight="1" x14ac:dyDescent="0.3"/>
    <row r="37" ht="12.6" customHeight="1" x14ac:dyDescent="0.3"/>
    <row r="38" ht="12.6" customHeight="1" x14ac:dyDescent="0.3"/>
    <row r="39" ht="12.6" customHeight="1" x14ac:dyDescent="0.3"/>
  </sheetData>
  <sheetProtection selectLockedCells="1" selectUnlockedCells="1"/>
  <phoneticPr fontId="0" type="noConversion"/>
  <printOptions gridLines="1"/>
  <pageMargins left="0.78740157480314998" right="0.78740157480314998" top="0.98425196850393704" bottom="0.98425196850393704" header="0.59055118110236204" footer="0.59055118110236204"/>
  <pageSetup paperSize="9" scale="7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H72"/>
  <sheetViews>
    <sheetView showGridLines="0" workbookViewId="0">
      <pane ySplit="8" topLeftCell="A9" activePane="bottomLeft" state="frozenSplit"/>
      <selection activeCell="G7" sqref="G7"/>
      <selection pane="bottomLeft"/>
    </sheetView>
  </sheetViews>
  <sheetFormatPr defaultColWidth="9.109375" defaultRowHeight="13.8" x14ac:dyDescent="0.25"/>
  <cols>
    <col min="1" max="1" width="8.88671875" style="128" customWidth="1"/>
    <col min="2" max="2" width="64" style="128" bestFit="1" customWidth="1"/>
    <col min="3" max="3" width="20.109375" style="128" customWidth="1"/>
    <col min="4" max="4" width="17" style="128" customWidth="1"/>
    <col min="5" max="5" width="5" style="128" customWidth="1"/>
    <col min="6" max="6" width="7.6640625" style="128" customWidth="1"/>
    <col min="7" max="7" width="16.33203125" style="128" customWidth="1"/>
    <col min="8" max="8" width="49.109375" style="128" customWidth="1"/>
    <col min="9" max="16384" width="9.109375" style="128"/>
  </cols>
  <sheetData>
    <row r="1" spans="1:4" ht="21.6" x14ac:dyDescent="0.25">
      <c r="A1" s="132" t="s">
        <v>284</v>
      </c>
      <c r="B1" s="215"/>
      <c r="C1" s="132" t="s">
        <v>93</v>
      </c>
    </row>
    <row r="2" spans="1:4" x14ac:dyDescent="0.25">
      <c r="A2" s="143" t="s">
        <v>575</v>
      </c>
      <c r="B2" s="215"/>
      <c r="C2" s="530" t="s">
        <v>282</v>
      </c>
      <c r="D2" s="531"/>
    </row>
    <row r="3" spans="1:4" x14ac:dyDescent="0.25">
      <c r="A3" s="129" t="s">
        <v>576</v>
      </c>
      <c r="B3" s="193"/>
      <c r="C3" s="532" t="s">
        <v>589</v>
      </c>
      <c r="D3" s="532"/>
    </row>
    <row r="4" spans="1:4" x14ac:dyDescent="0.25">
      <c r="A4" s="129" t="s">
        <v>578</v>
      </c>
      <c r="B4" s="193"/>
    </row>
    <row r="6" spans="1:4" ht="21.6" x14ac:dyDescent="0.25">
      <c r="A6" s="132" t="s">
        <v>143</v>
      </c>
    </row>
    <row r="7" spans="1:4" x14ac:dyDescent="0.25">
      <c r="A7" s="199" t="s">
        <v>144</v>
      </c>
      <c r="B7" s="199" t="s">
        <v>145</v>
      </c>
      <c r="C7" s="199" t="s">
        <v>146</v>
      </c>
      <c r="D7" s="199" t="s">
        <v>147</v>
      </c>
    </row>
    <row r="8" spans="1:4" ht="33.75" customHeight="1" thickBot="1" x14ac:dyDescent="0.3">
      <c r="A8" s="225" t="s">
        <v>76</v>
      </c>
      <c r="B8" s="225" t="s">
        <v>47</v>
      </c>
      <c r="C8" s="225" t="s">
        <v>74</v>
      </c>
      <c r="D8" s="225" t="s">
        <v>75</v>
      </c>
    </row>
    <row r="9" spans="1:4" ht="14.4" thickBot="1" x14ac:dyDescent="0.3">
      <c r="A9" s="383" t="s">
        <v>448</v>
      </c>
      <c r="B9" s="240" t="s">
        <v>415</v>
      </c>
      <c r="C9" s="241" t="s">
        <v>274</v>
      </c>
      <c r="D9" s="242">
        <f>'User Inputs'!C24</f>
        <v>6000000</v>
      </c>
    </row>
    <row r="10" spans="1:4" ht="14.4" thickBot="1" x14ac:dyDescent="0.3">
      <c r="A10" s="383" t="s">
        <v>449</v>
      </c>
      <c r="B10" s="240" t="s">
        <v>378</v>
      </c>
      <c r="C10" s="241" t="s">
        <v>274</v>
      </c>
      <c r="D10" s="242">
        <f>'User Inputs'!C25</f>
        <v>500</v>
      </c>
    </row>
    <row r="11" spans="1:4" ht="14.4" thickBot="1" x14ac:dyDescent="0.3">
      <c r="A11" s="383" t="s">
        <v>450</v>
      </c>
      <c r="B11" s="240" t="s">
        <v>414</v>
      </c>
      <c r="C11" s="241" t="s">
        <v>274</v>
      </c>
      <c r="D11" s="242">
        <f>'User Inputs'!C26</f>
        <v>750</v>
      </c>
    </row>
    <row r="12" spans="1:4" ht="14.4" thickBot="1" x14ac:dyDescent="0.3">
      <c r="A12" s="383" t="s">
        <v>451</v>
      </c>
      <c r="B12" s="240" t="s">
        <v>376</v>
      </c>
      <c r="C12" s="241" t="s">
        <v>274</v>
      </c>
      <c r="D12" s="242">
        <f>'User Inputs'!C27</f>
        <v>700</v>
      </c>
    </row>
    <row r="13" spans="1:4" ht="28.2" thickBot="1" x14ac:dyDescent="0.3">
      <c r="A13" s="383" t="s">
        <v>452</v>
      </c>
      <c r="B13" s="240" t="s">
        <v>617</v>
      </c>
      <c r="C13" s="241" t="s">
        <v>618</v>
      </c>
      <c r="D13" s="427">
        <f>'User Inputs'!C28</f>
        <v>0</v>
      </c>
    </row>
    <row r="14" spans="1:4" ht="14.4" thickBot="1" x14ac:dyDescent="0.3">
      <c r="A14" s="383" t="s">
        <v>453</v>
      </c>
      <c r="B14" s="240" t="s">
        <v>416</v>
      </c>
      <c r="C14" s="241" t="s">
        <v>274</v>
      </c>
      <c r="D14" s="242">
        <f>'User Inputs'!C29</f>
        <v>5000000</v>
      </c>
    </row>
    <row r="15" spans="1:4" ht="14.4" thickBot="1" x14ac:dyDescent="0.3">
      <c r="A15" s="383" t="s">
        <v>454</v>
      </c>
      <c r="B15" s="240" t="s">
        <v>379</v>
      </c>
      <c r="C15" s="241" t="s">
        <v>274</v>
      </c>
      <c r="D15" s="242">
        <f>'User Inputs'!C30</f>
        <v>10000</v>
      </c>
    </row>
    <row r="16" spans="1:4" ht="14.4" thickBot="1" x14ac:dyDescent="0.3">
      <c r="A16" s="383" t="s">
        <v>455</v>
      </c>
      <c r="B16" s="248" t="s">
        <v>424</v>
      </c>
      <c r="C16" s="241" t="s">
        <v>274</v>
      </c>
      <c r="D16" s="249">
        <f>'User Inputs'!C31</f>
        <v>2750000</v>
      </c>
    </row>
    <row r="17" spans="1:4" ht="14.4" thickBot="1" x14ac:dyDescent="0.3">
      <c r="A17" s="383" t="s">
        <v>456</v>
      </c>
      <c r="B17" s="240" t="s">
        <v>48</v>
      </c>
      <c r="C17" s="241" t="s">
        <v>275</v>
      </c>
      <c r="D17" s="242">
        <f>'User Inputs'!C32</f>
        <v>15</v>
      </c>
    </row>
    <row r="19" spans="1:4" ht="15.6" thickBot="1" x14ac:dyDescent="0.3">
      <c r="A19" s="371" t="s">
        <v>619</v>
      </c>
    </row>
    <row r="20" spans="1:4" x14ac:dyDescent="0.25">
      <c r="A20" s="383" t="s">
        <v>457</v>
      </c>
      <c r="B20" s="226" t="s">
        <v>49</v>
      </c>
      <c r="C20" s="226">
        <v>208</v>
      </c>
      <c r="D20" s="227" t="e">
        <f>'User Inputs'!#REF!</f>
        <v>#REF!</v>
      </c>
    </row>
    <row r="21" spans="1:4" x14ac:dyDescent="0.25">
      <c r="A21" s="228"/>
      <c r="B21" s="229"/>
      <c r="C21" s="230">
        <v>480</v>
      </c>
      <c r="D21" s="231"/>
    </row>
    <row r="22" spans="1:4" x14ac:dyDescent="0.25">
      <c r="A22" s="228"/>
      <c r="B22" s="229"/>
      <c r="C22" s="232">
        <v>600</v>
      </c>
      <c r="D22" s="231"/>
    </row>
    <row r="23" spans="1:4" x14ac:dyDescent="0.25">
      <c r="A23" s="228"/>
      <c r="B23" s="229"/>
      <c r="C23" s="232" t="s">
        <v>304</v>
      </c>
      <c r="D23" s="231"/>
    </row>
    <row r="24" spans="1:4" ht="14.4" thickBot="1" x14ac:dyDescent="0.3">
      <c r="A24" s="233"/>
      <c r="B24" s="234"/>
      <c r="C24" s="235" t="s">
        <v>117</v>
      </c>
      <c r="D24" s="236"/>
    </row>
    <row r="25" spans="1:4" x14ac:dyDescent="0.25">
      <c r="A25" s="383" t="s">
        <v>458</v>
      </c>
      <c r="B25" s="226" t="s">
        <v>377</v>
      </c>
      <c r="C25" s="251" t="s">
        <v>300</v>
      </c>
      <c r="D25" s="227" t="e">
        <f>'User Inputs'!#REF!</f>
        <v>#REF!</v>
      </c>
    </row>
    <row r="26" spans="1:4" x14ac:dyDescent="0.25">
      <c r="A26" s="336"/>
      <c r="B26" s="337"/>
      <c r="C26" s="245" t="s">
        <v>301</v>
      </c>
      <c r="D26" s="338"/>
    </row>
    <row r="27" spans="1:4" x14ac:dyDescent="0.25">
      <c r="A27" s="228"/>
      <c r="B27" s="229"/>
      <c r="C27" s="245" t="s">
        <v>302</v>
      </c>
      <c r="D27" s="237"/>
    </row>
    <row r="28" spans="1:4" x14ac:dyDescent="0.25">
      <c r="A28" s="228"/>
      <c r="B28" s="229"/>
      <c r="C28" s="245" t="s">
        <v>303</v>
      </c>
      <c r="D28" s="237"/>
    </row>
    <row r="29" spans="1:4" x14ac:dyDescent="0.25">
      <c r="A29" s="228"/>
      <c r="B29" s="229"/>
      <c r="C29" s="245" t="s">
        <v>117</v>
      </c>
      <c r="D29" s="237"/>
    </row>
    <row r="30" spans="1:4" ht="14.4" thickBot="1" x14ac:dyDescent="0.3">
      <c r="A30" s="233"/>
      <c r="B30" s="234"/>
      <c r="C30" s="339" t="s">
        <v>381</v>
      </c>
      <c r="D30" s="238"/>
    </row>
    <row r="31" spans="1:4" x14ac:dyDescent="0.25">
      <c r="A31" s="383" t="s">
        <v>459</v>
      </c>
      <c r="B31" s="232" t="s">
        <v>58</v>
      </c>
      <c r="C31" s="226">
        <v>208</v>
      </c>
      <c r="D31" s="227" t="e">
        <f>'User Inputs'!#REF!</f>
        <v>#REF!</v>
      </c>
    </row>
    <row r="32" spans="1:4" x14ac:dyDescent="0.25">
      <c r="A32" s="228"/>
      <c r="B32" s="229"/>
      <c r="C32" s="230">
        <v>480</v>
      </c>
      <c r="D32" s="237"/>
    </row>
    <row r="33" spans="1:4" x14ac:dyDescent="0.25">
      <c r="A33" s="228"/>
      <c r="B33" s="229"/>
      <c r="C33" s="232">
        <v>600</v>
      </c>
      <c r="D33" s="237"/>
    </row>
    <row r="34" spans="1:4" x14ac:dyDescent="0.25">
      <c r="A34" s="228"/>
      <c r="B34" s="229"/>
      <c r="C34" s="232" t="s">
        <v>304</v>
      </c>
      <c r="D34" s="237"/>
    </row>
    <row r="35" spans="1:4" ht="14.4" thickBot="1" x14ac:dyDescent="0.3">
      <c r="A35" s="233"/>
      <c r="B35" s="234"/>
      <c r="C35" s="235" t="s">
        <v>117</v>
      </c>
      <c r="D35" s="238"/>
    </row>
    <row r="36" spans="1:4" x14ac:dyDescent="0.25">
      <c r="A36" s="383" t="s">
        <v>460</v>
      </c>
      <c r="B36" s="232" t="s">
        <v>59</v>
      </c>
      <c r="C36" s="226">
        <v>208</v>
      </c>
      <c r="D36" s="239" t="e">
        <f>'User Inputs'!#REF!</f>
        <v>#REF!</v>
      </c>
    </row>
    <row r="37" spans="1:4" x14ac:dyDescent="0.25">
      <c r="A37" s="228"/>
      <c r="B37" s="229"/>
      <c r="C37" s="230">
        <v>480</v>
      </c>
      <c r="D37" s="231"/>
    </row>
    <row r="38" spans="1:4" x14ac:dyDescent="0.25">
      <c r="A38" s="228"/>
      <c r="B38" s="229"/>
      <c r="C38" s="232">
        <v>600</v>
      </c>
      <c r="D38" s="231"/>
    </row>
    <row r="39" spans="1:4" x14ac:dyDescent="0.25">
      <c r="A39" s="228"/>
      <c r="B39" s="229"/>
      <c r="C39" s="232" t="s">
        <v>304</v>
      </c>
      <c r="D39" s="231"/>
    </row>
    <row r="40" spans="1:4" ht="14.4" thickBot="1" x14ac:dyDescent="0.3">
      <c r="A40" s="233"/>
      <c r="B40" s="234"/>
      <c r="C40" s="235" t="s">
        <v>117</v>
      </c>
      <c r="D40" s="236"/>
    </row>
    <row r="41" spans="1:4" x14ac:dyDescent="0.25">
      <c r="A41" s="383" t="s">
        <v>461</v>
      </c>
      <c r="B41" s="232" t="s">
        <v>0</v>
      </c>
      <c r="C41" s="226" t="s">
        <v>13</v>
      </c>
      <c r="D41" s="227" t="e">
        <f>'User Inputs'!#REF!</f>
        <v>#REF!</v>
      </c>
    </row>
    <row r="42" spans="1:4" x14ac:dyDescent="0.25">
      <c r="A42" s="228"/>
      <c r="B42" s="229"/>
      <c r="C42" s="230" t="s">
        <v>19</v>
      </c>
      <c r="D42" s="231"/>
    </row>
    <row r="43" spans="1:4" x14ac:dyDescent="0.25">
      <c r="A43" s="228"/>
      <c r="B43" s="229"/>
      <c r="C43" s="232" t="s">
        <v>20</v>
      </c>
      <c r="D43" s="231"/>
    </row>
    <row r="44" spans="1:4" x14ac:dyDescent="0.25">
      <c r="A44" s="228"/>
      <c r="B44" s="229"/>
      <c r="C44" s="232" t="s">
        <v>77</v>
      </c>
      <c r="D44" s="231"/>
    </row>
    <row r="45" spans="1:4" x14ac:dyDescent="0.25">
      <c r="A45" s="228"/>
      <c r="B45" s="229"/>
      <c r="C45" s="232" t="s">
        <v>304</v>
      </c>
      <c r="D45" s="231"/>
    </row>
    <row r="46" spans="1:4" ht="14.4" thickBot="1" x14ac:dyDescent="0.3">
      <c r="A46" s="233"/>
      <c r="B46" s="234"/>
      <c r="C46" s="235" t="s">
        <v>117</v>
      </c>
      <c r="D46" s="236"/>
    </row>
    <row r="47" spans="1:4" ht="14.4" thickBot="1" x14ac:dyDescent="0.3">
      <c r="A47" s="383" t="s">
        <v>462</v>
      </c>
      <c r="B47" s="240" t="s">
        <v>96</v>
      </c>
      <c r="C47" s="241" t="s">
        <v>274</v>
      </c>
      <c r="D47" s="242" t="e">
        <f>'User Inputs'!#REF!</f>
        <v>#REF!</v>
      </c>
    </row>
    <row r="48" spans="1:4" ht="14.4" thickBot="1" x14ac:dyDescent="0.3">
      <c r="A48" s="383" t="s">
        <v>463</v>
      </c>
      <c r="B48" s="240" t="s">
        <v>45</v>
      </c>
      <c r="C48" s="241" t="s">
        <v>274</v>
      </c>
      <c r="D48" s="242" t="e">
        <f>'User Inputs'!#REF!</f>
        <v>#REF!</v>
      </c>
    </row>
    <row r="49" spans="1:4" ht="14.4" thickBot="1" x14ac:dyDescent="0.3">
      <c r="A49" s="383" t="s">
        <v>464</v>
      </c>
      <c r="B49" s="240" t="s">
        <v>262</v>
      </c>
      <c r="C49" s="241" t="s">
        <v>274</v>
      </c>
      <c r="D49" s="242" t="e">
        <f>'User Inputs'!#REF!</f>
        <v>#REF!</v>
      </c>
    </row>
    <row r="50" spans="1:4" x14ac:dyDescent="0.25">
      <c r="A50" s="383" t="s">
        <v>465</v>
      </c>
      <c r="B50" s="230" t="s">
        <v>1</v>
      </c>
      <c r="C50" s="230" t="s">
        <v>13</v>
      </c>
      <c r="D50" s="244" t="e">
        <f>'User Inputs'!#REF!</f>
        <v>#REF!</v>
      </c>
    </row>
    <row r="51" spans="1:4" x14ac:dyDescent="0.25">
      <c r="A51" s="228"/>
      <c r="B51" s="229"/>
      <c r="C51" s="230" t="s">
        <v>19</v>
      </c>
      <c r="D51" s="231"/>
    </row>
    <row r="52" spans="1:4" x14ac:dyDescent="0.25">
      <c r="A52" s="228"/>
      <c r="B52" s="229"/>
      <c r="C52" s="232" t="s">
        <v>20</v>
      </c>
      <c r="D52" s="231"/>
    </row>
    <row r="53" spans="1:4" x14ac:dyDescent="0.25">
      <c r="A53" s="228"/>
      <c r="B53" s="229"/>
      <c r="C53" s="232" t="s">
        <v>77</v>
      </c>
      <c r="D53" s="231"/>
    </row>
    <row r="54" spans="1:4" x14ac:dyDescent="0.25">
      <c r="A54" s="228"/>
      <c r="B54" s="229"/>
      <c r="C54" s="232" t="s">
        <v>304</v>
      </c>
      <c r="D54" s="231"/>
    </row>
    <row r="55" spans="1:4" ht="14.4" thickBot="1" x14ac:dyDescent="0.3">
      <c r="A55" s="233"/>
      <c r="B55" s="234"/>
      <c r="C55" s="246" t="s">
        <v>117</v>
      </c>
      <c r="D55" s="236"/>
    </row>
    <row r="56" spans="1:4" ht="14.4" thickBot="1" x14ac:dyDescent="0.3">
      <c r="A56" s="383" t="s">
        <v>466</v>
      </c>
      <c r="B56" s="240" t="s">
        <v>46</v>
      </c>
      <c r="C56" s="241" t="s">
        <v>274</v>
      </c>
      <c r="D56" s="242" t="e">
        <f>'User Inputs'!#REF!</f>
        <v>#REF!</v>
      </c>
    </row>
    <row r="57" spans="1:4" x14ac:dyDescent="0.25">
      <c r="A57" s="383" t="s">
        <v>467</v>
      </c>
      <c r="B57" s="230" t="s">
        <v>380</v>
      </c>
      <c r="C57" s="247" t="s">
        <v>114</v>
      </c>
      <c r="D57" s="244" t="e">
        <f>'User Inputs'!#REF!</f>
        <v>#REF!</v>
      </c>
    </row>
    <row r="58" spans="1:4" x14ac:dyDescent="0.25">
      <c r="A58" s="228"/>
      <c r="B58" s="229"/>
      <c r="C58" s="247" t="s">
        <v>115</v>
      </c>
      <c r="D58" s="237"/>
    </row>
    <row r="59" spans="1:4" ht="14.4" thickBot="1" x14ac:dyDescent="0.3">
      <c r="A59" s="233"/>
      <c r="B59" s="234"/>
      <c r="C59" s="246" t="s">
        <v>117</v>
      </c>
      <c r="D59" s="238"/>
    </row>
    <row r="60" spans="1:4" x14ac:dyDescent="0.25">
      <c r="A60" s="383" t="s">
        <v>180</v>
      </c>
      <c r="B60" s="230" t="s">
        <v>95</v>
      </c>
      <c r="C60" s="247" t="s">
        <v>295</v>
      </c>
      <c r="D60" s="244" t="e">
        <f>'User Inputs'!#REF!</f>
        <v>#REF!</v>
      </c>
    </row>
    <row r="61" spans="1:4" x14ac:dyDescent="0.25">
      <c r="A61" s="228"/>
      <c r="B61" s="229"/>
      <c r="C61" s="247" t="s">
        <v>294</v>
      </c>
      <c r="D61" s="237"/>
    </row>
    <row r="62" spans="1:4" ht="14.4" thickBot="1" x14ac:dyDescent="0.3">
      <c r="A62" s="233"/>
      <c r="B62" s="234"/>
      <c r="C62" s="250" t="s">
        <v>117</v>
      </c>
      <c r="D62" s="238"/>
    </row>
    <row r="63" spans="1:4" x14ac:dyDescent="0.25">
      <c r="A63" s="383" t="s">
        <v>181</v>
      </c>
      <c r="B63" s="232" t="s">
        <v>94</v>
      </c>
      <c r="C63" s="251" t="s">
        <v>294</v>
      </c>
      <c r="D63" s="227" t="e">
        <f>'User Inputs'!#REF!</f>
        <v>#REF!</v>
      </c>
    </row>
    <row r="64" spans="1:4" x14ac:dyDescent="0.25">
      <c r="A64" s="228"/>
      <c r="B64" s="229"/>
      <c r="C64" s="243" t="s">
        <v>295</v>
      </c>
      <c r="D64" s="237"/>
    </row>
    <row r="65" spans="1:8" ht="14.4" thickBot="1" x14ac:dyDescent="0.3">
      <c r="A65" s="233"/>
      <c r="B65" s="234"/>
      <c r="C65" s="246" t="s">
        <v>117</v>
      </c>
      <c r="D65" s="238"/>
    </row>
    <row r="67" spans="1:8" ht="21.6" x14ac:dyDescent="0.25">
      <c r="F67" s="132" t="s">
        <v>148</v>
      </c>
    </row>
    <row r="68" spans="1:8" x14ac:dyDescent="0.25">
      <c r="F68" s="135" t="s">
        <v>172</v>
      </c>
    </row>
    <row r="69" spans="1:8" ht="27.6" x14ac:dyDescent="0.25">
      <c r="F69" s="136" t="s">
        <v>144</v>
      </c>
      <c r="G69" s="169" t="s">
        <v>76</v>
      </c>
      <c r="H69" s="142" t="s">
        <v>653</v>
      </c>
    </row>
    <row r="70" spans="1:8" ht="27.6" x14ac:dyDescent="0.25">
      <c r="F70" s="136" t="s">
        <v>145</v>
      </c>
      <c r="G70" s="169" t="s">
        <v>47</v>
      </c>
      <c r="H70" s="142" t="s">
        <v>421</v>
      </c>
    </row>
    <row r="71" spans="1:8" ht="27.6" x14ac:dyDescent="0.25">
      <c r="F71" s="136" t="s">
        <v>146</v>
      </c>
      <c r="G71" s="169" t="s">
        <v>74</v>
      </c>
      <c r="H71" s="343" t="s">
        <v>422</v>
      </c>
    </row>
    <row r="72" spans="1:8" ht="27.6" x14ac:dyDescent="0.25">
      <c r="F72" s="136" t="s">
        <v>147</v>
      </c>
      <c r="G72" s="169" t="s">
        <v>75</v>
      </c>
      <c r="H72" s="343" t="s">
        <v>423</v>
      </c>
    </row>
  </sheetData>
  <mergeCells count="2">
    <mergeCell ref="C2:D2"/>
    <mergeCell ref="C3:D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L166"/>
  <sheetViews>
    <sheetView showGridLines="0" zoomScale="70" zoomScaleNormal="70" workbookViewId="0">
      <pane ySplit="13" topLeftCell="A14" activePane="bottomLeft" state="frozenSplit"/>
      <selection activeCell="G7" sqref="G7"/>
      <selection pane="bottomLeft"/>
    </sheetView>
  </sheetViews>
  <sheetFormatPr defaultColWidth="9.109375" defaultRowHeight="13.8" x14ac:dyDescent="0.25"/>
  <cols>
    <col min="1" max="1" width="9.109375" style="128"/>
    <col min="2" max="2" width="30.33203125" style="193" customWidth="1"/>
    <col min="3" max="3" width="20.88671875" style="253" customWidth="1"/>
    <col min="4" max="4" width="17.6640625" style="193" customWidth="1"/>
    <col min="5" max="5" width="8.33203125" style="254" customWidth="1"/>
    <col min="6" max="6" width="4" style="254" customWidth="1"/>
    <col min="7" max="7" width="10.33203125" style="254" customWidth="1"/>
    <col min="8" max="8" width="21.6640625" style="128" customWidth="1"/>
    <col min="9" max="9" width="21.5546875" style="128" customWidth="1"/>
    <col min="10" max="10" width="21.109375" style="128" customWidth="1"/>
    <col min="11" max="11" width="13.109375" style="128" customWidth="1"/>
    <col min="12" max="12" width="21" style="128" customWidth="1"/>
    <col min="13" max="13" width="3.5546875" style="128" customWidth="1"/>
    <col min="14" max="14" width="8.6640625" style="128" customWidth="1"/>
    <col min="15" max="15" width="32.109375" style="128" customWidth="1"/>
    <col min="16" max="16" width="16.33203125" style="128" customWidth="1"/>
    <col min="17" max="17" width="13.109375" style="128" customWidth="1"/>
    <col min="18" max="18" width="3.6640625" style="128" customWidth="1"/>
    <col min="19" max="19" width="16.109375" style="128" customWidth="1"/>
    <col min="20" max="20" width="14.6640625" style="128" customWidth="1"/>
    <col min="21" max="21" width="12.88671875" style="128" customWidth="1"/>
    <col min="22" max="22" width="11.88671875" style="128" customWidth="1"/>
    <col min="23" max="23" width="11.44140625" style="128" customWidth="1"/>
    <col min="24" max="24" width="4.33203125" style="128" customWidth="1"/>
    <col min="25" max="25" width="16.88671875" style="128" customWidth="1"/>
    <col min="26" max="26" width="15.6640625" style="128" customWidth="1"/>
    <col min="27" max="27" width="8.88671875" style="128" customWidth="1"/>
    <col min="28" max="28" width="10.88671875" style="128" customWidth="1"/>
    <col min="29" max="29" width="13.33203125" style="128" customWidth="1"/>
    <col min="30" max="30" width="16.88671875" style="128" customWidth="1"/>
    <col min="31" max="31" width="9.109375" style="195" customWidth="1"/>
    <col min="32" max="32" width="3.88671875" style="128" customWidth="1"/>
    <col min="33" max="33" width="9.109375" style="128"/>
    <col min="34" max="34" width="10.109375" style="128" customWidth="1"/>
    <col min="35" max="35" width="14.44140625" style="128" customWidth="1"/>
    <col min="36" max="36" width="9.6640625" style="128" customWidth="1"/>
    <col min="37" max="37" width="70.5546875" style="128" customWidth="1"/>
    <col min="38" max="16384" width="9.109375" style="128"/>
  </cols>
  <sheetData>
    <row r="1" spans="1:31" ht="21.6" x14ac:dyDescent="0.35">
      <c r="A1" s="132" t="s">
        <v>283</v>
      </c>
      <c r="B1" s="215"/>
      <c r="E1" s="144"/>
      <c r="F1" s="144"/>
      <c r="I1" s="132" t="s">
        <v>93</v>
      </c>
      <c r="S1" s="373"/>
      <c r="T1" s="254"/>
    </row>
    <row r="2" spans="1:31" x14ac:dyDescent="0.25">
      <c r="A2" s="143" t="s">
        <v>577</v>
      </c>
      <c r="B2" s="144"/>
      <c r="E2" s="144"/>
      <c r="F2" s="144"/>
      <c r="I2" s="554" t="s">
        <v>285</v>
      </c>
      <c r="J2" s="555"/>
      <c r="K2" s="556"/>
      <c r="S2" s="255"/>
      <c r="T2" s="129"/>
    </row>
    <row r="3" spans="1:31" x14ac:dyDescent="0.25">
      <c r="A3" s="129" t="s">
        <v>576</v>
      </c>
      <c r="B3" s="144"/>
      <c r="E3" s="144"/>
      <c r="F3" s="144"/>
      <c r="I3" s="557" t="s">
        <v>282</v>
      </c>
      <c r="J3" s="557"/>
      <c r="K3" s="557"/>
      <c r="S3" s="255"/>
      <c r="T3" s="129"/>
    </row>
    <row r="4" spans="1:31" x14ac:dyDescent="0.25">
      <c r="A4" s="129" t="s">
        <v>578</v>
      </c>
      <c r="B4" s="254"/>
      <c r="I4" s="558" t="s">
        <v>579</v>
      </c>
      <c r="J4" s="558"/>
      <c r="K4" s="558"/>
      <c r="S4" s="255"/>
      <c r="T4" s="129"/>
    </row>
    <row r="5" spans="1:31" x14ac:dyDescent="0.25">
      <c r="A5" s="129"/>
      <c r="B5" s="254"/>
      <c r="C5" s="255"/>
      <c r="D5" s="254"/>
      <c r="I5" s="559" t="s">
        <v>287</v>
      </c>
      <c r="J5" s="559"/>
      <c r="K5" s="559"/>
      <c r="S5" s="255"/>
      <c r="T5" s="129"/>
    </row>
    <row r="6" spans="1:31" x14ac:dyDescent="0.25">
      <c r="B6" s="129"/>
      <c r="C6" s="255"/>
      <c r="D6" s="254"/>
      <c r="I6" s="560" t="s">
        <v>286</v>
      </c>
      <c r="J6" s="560"/>
      <c r="K6" s="560"/>
      <c r="S6" s="255"/>
      <c r="T6" s="129"/>
    </row>
    <row r="7" spans="1:31" x14ac:dyDescent="0.25">
      <c r="B7" s="254"/>
      <c r="C7" s="128"/>
      <c r="S7" s="255"/>
      <c r="T7" s="129"/>
    </row>
    <row r="8" spans="1:31" ht="21.6" x14ac:dyDescent="0.25">
      <c r="A8" s="132" t="s">
        <v>256</v>
      </c>
      <c r="C8" s="128"/>
    </row>
    <row r="9" spans="1:31" ht="38.25" customHeight="1" x14ac:dyDescent="0.25">
      <c r="A9" s="533" t="s">
        <v>92</v>
      </c>
      <c r="B9" s="534"/>
      <c r="C9" s="534"/>
      <c r="D9" s="534"/>
      <c r="E9" s="535"/>
      <c r="F9" s="256"/>
      <c r="G9" s="533" t="s">
        <v>116</v>
      </c>
      <c r="H9" s="534"/>
      <c r="I9" s="534"/>
      <c r="J9" s="534"/>
      <c r="K9" s="534"/>
      <c r="L9" s="535"/>
      <c r="M9" s="257"/>
      <c r="N9" s="533" t="s">
        <v>504</v>
      </c>
      <c r="O9" s="534"/>
      <c r="P9" s="534"/>
      <c r="Q9" s="534"/>
      <c r="R9" s="257"/>
      <c r="S9" s="551" t="s">
        <v>178</v>
      </c>
      <c r="T9" s="552"/>
      <c r="U9" s="552"/>
      <c r="V9" s="552"/>
      <c r="W9" s="553"/>
      <c r="X9" s="257"/>
      <c r="Y9" s="533" t="s">
        <v>179</v>
      </c>
      <c r="Z9" s="534"/>
      <c r="AA9" s="534"/>
      <c r="AB9" s="534"/>
      <c r="AC9" s="534"/>
      <c r="AD9" s="534"/>
      <c r="AE9" s="535"/>
    </row>
    <row r="10" spans="1:31" s="129" customFormat="1" ht="18" customHeight="1" x14ac:dyDescent="0.25">
      <c r="A10" s="135" t="s">
        <v>149</v>
      </c>
      <c r="B10" s="135" t="s">
        <v>150</v>
      </c>
      <c r="C10" s="135" t="s">
        <v>151</v>
      </c>
      <c r="D10" s="135" t="s">
        <v>152</v>
      </c>
      <c r="E10" s="344" t="s">
        <v>153</v>
      </c>
      <c r="F10" s="258"/>
      <c r="G10" s="344" t="s">
        <v>154</v>
      </c>
      <c r="H10" s="344" t="s">
        <v>155</v>
      </c>
      <c r="I10" s="344" t="s">
        <v>156</v>
      </c>
      <c r="J10" s="344" t="s">
        <v>157</v>
      </c>
      <c r="K10" s="344" t="s">
        <v>158</v>
      </c>
      <c r="L10" s="344" t="s">
        <v>159</v>
      </c>
      <c r="M10" s="258"/>
      <c r="N10" s="344" t="s">
        <v>160</v>
      </c>
      <c r="O10" s="344" t="s">
        <v>161</v>
      </c>
      <c r="P10" s="344" t="s">
        <v>162</v>
      </c>
      <c r="Q10" s="344" t="s">
        <v>163</v>
      </c>
      <c r="R10" s="258"/>
      <c r="S10" s="344" t="s">
        <v>164</v>
      </c>
      <c r="T10" s="344" t="s">
        <v>165</v>
      </c>
      <c r="U10" s="344" t="s">
        <v>166</v>
      </c>
      <c r="V10" s="344" t="s">
        <v>167</v>
      </c>
      <c r="W10" s="344" t="s">
        <v>168</v>
      </c>
      <c r="X10" s="258"/>
      <c r="Y10" s="344" t="s">
        <v>169</v>
      </c>
      <c r="Z10" s="344" t="s">
        <v>170</v>
      </c>
      <c r="AA10" s="344" t="s">
        <v>425</v>
      </c>
      <c r="AB10" s="344" t="s">
        <v>426</v>
      </c>
      <c r="AC10" s="344" t="s">
        <v>427</v>
      </c>
      <c r="AD10" s="344" t="s">
        <v>428</v>
      </c>
      <c r="AE10" s="344" t="s">
        <v>429</v>
      </c>
    </row>
    <row r="11" spans="1:31" s="129" customFormat="1" ht="18" customHeight="1" x14ac:dyDescent="0.25">
      <c r="A11" s="536" t="s">
        <v>76</v>
      </c>
      <c r="B11" s="536" t="s">
        <v>47</v>
      </c>
      <c r="C11" s="536" t="s">
        <v>74</v>
      </c>
      <c r="D11" s="536" t="s">
        <v>75</v>
      </c>
      <c r="E11" s="536" t="s">
        <v>386</v>
      </c>
      <c r="F11" s="254"/>
      <c r="G11" s="536" t="s">
        <v>83</v>
      </c>
      <c r="H11" s="561" t="s">
        <v>74</v>
      </c>
      <c r="I11" s="562"/>
      <c r="J11" s="562"/>
      <c r="K11" s="562"/>
      <c r="L11" s="563"/>
      <c r="M11" s="128"/>
      <c r="N11" s="536" t="s">
        <v>430</v>
      </c>
      <c r="O11" s="536" t="s">
        <v>47</v>
      </c>
      <c r="P11" s="536" t="s">
        <v>74</v>
      </c>
      <c r="Q11" s="536" t="s">
        <v>634</v>
      </c>
      <c r="R11" s="128"/>
      <c r="S11" s="536" t="s">
        <v>109</v>
      </c>
      <c r="T11" s="540" t="s">
        <v>111</v>
      </c>
      <c r="U11" s="541"/>
      <c r="V11" s="541"/>
      <c r="W11" s="542"/>
      <c r="X11" s="128"/>
      <c r="Y11" s="536" t="s">
        <v>109</v>
      </c>
      <c r="Z11" s="536" t="s">
        <v>111</v>
      </c>
      <c r="AA11" s="506" t="s">
        <v>113</v>
      </c>
      <c r="AB11" s="506"/>
      <c r="AC11" s="506"/>
      <c r="AD11" s="506" t="s">
        <v>110</v>
      </c>
      <c r="AE11" s="550" t="s">
        <v>87</v>
      </c>
    </row>
    <row r="12" spans="1:31" s="129" customFormat="1" ht="30.75" customHeight="1" x14ac:dyDescent="0.25">
      <c r="A12" s="537"/>
      <c r="B12" s="537"/>
      <c r="C12" s="537"/>
      <c r="D12" s="537"/>
      <c r="E12" s="537"/>
      <c r="F12" s="254"/>
      <c r="G12" s="537"/>
      <c r="H12" s="526" t="s">
        <v>173</v>
      </c>
      <c r="I12" s="549"/>
      <c r="J12" s="549"/>
      <c r="K12" s="564" t="s">
        <v>177</v>
      </c>
      <c r="L12" s="506" t="s">
        <v>82</v>
      </c>
      <c r="M12" s="128"/>
      <c r="N12" s="537"/>
      <c r="O12" s="537"/>
      <c r="P12" s="537"/>
      <c r="Q12" s="537"/>
      <c r="R12" s="128"/>
      <c r="S12" s="537"/>
      <c r="T12" s="543"/>
      <c r="U12" s="544"/>
      <c r="V12" s="544"/>
      <c r="W12" s="545"/>
      <c r="X12" s="128"/>
      <c r="Y12" s="537"/>
      <c r="Z12" s="537"/>
      <c r="AA12" s="506"/>
      <c r="AB12" s="506"/>
      <c r="AC12" s="506"/>
      <c r="AD12" s="506"/>
      <c r="AE12" s="550"/>
    </row>
    <row r="13" spans="1:31" s="129" customFormat="1" ht="24.75" customHeight="1" x14ac:dyDescent="0.25">
      <c r="A13" s="538"/>
      <c r="B13" s="538"/>
      <c r="C13" s="538"/>
      <c r="D13" s="538"/>
      <c r="E13" s="538"/>
      <c r="F13" s="254"/>
      <c r="G13" s="538"/>
      <c r="H13" s="199" t="s">
        <v>174</v>
      </c>
      <c r="I13" s="199" t="s">
        <v>175</v>
      </c>
      <c r="J13" s="199" t="s">
        <v>176</v>
      </c>
      <c r="K13" s="565"/>
      <c r="L13" s="506"/>
      <c r="M13" s="128"/>
      <c r="N13" s="538"/>
      <c r="O13" s="538"/>
      <c r="P13" s="538"/>
      <c r="Q13" s="538"/>
      <c r="R13" s="128"/>
      <c r="S13" s="538"/>
      <c r="T13" s="546"/>
      <c r="U13" s="547"/>
      <c r="V13" s="547"/>
      <c r="W13" s="548"/>
      <c r="X13" s="128"/>
      <c r="Y13" s="538"/>
      <c r="Z13" s="538"/>
      <c r="AA13" s="135" t="s">
        <v>5</v>
      </c>
      <c r="AB13" s="135" t="s">
        <v>89</v>
      </c>
      <c r="AC13" s="135" t="s">
        <v>90</v>
      </c>
      <c r="AD13" s="135" t="s">
        <v>88</v>
      </c>
      <c r="AE13" s="135" t="s">
        <v>86</v>
      </c>
    </row>
    <row r="14" spans="1:31" s="129" customFormat="1" x14ac:dyDescent="0.25">
      <c r="A14" s="259"/>
      <c r="B14" s="260"/>
      <c r="C14" s="259"/>
      <c r="D14" s="260"/>
      <c r="E14" s="260"/>
      <c r="F14" s="260"/>
      <c r="G14" s="260"/>
      <c r="H14" s="202"/>
      <c r="I14" s="202"/>
      <c r="J14" s="202"/>
      <c r="K14" s="202"/>
      <c r="L14" s="202"/>
      <c r="M14" s="202"/>
      <c r="N14" s="202"/>
      <c r="O14" s="202"/>
      <c r="P14" s="202"/>
      <c r="Q14" s="202"/>
      <c r="R14" s="202"/>
      <c r="S14" s="202"/>
      <c r="T14" s="202"/>
      <c r="U14" s="260"/>
      <c r="V14" s="260"/>
      <c r="W14" s="260"/>
      <c r="X14" s="260"/>
      <c r="Y14" s="260"/>
      <c r="Z14" s="260"/>
      <c r="AA14" s="202"/>
      <c r="AB14" s="202"/>
      <c r="AC14" s="202"/>
      <c r="AD14" s="202"/>
      <c r="AE14" s="261"/>
    </row>
    <row r="15" spans="1:31" s="129" customFormat="1" ht="36.75" customHeight="1" x14ac:dyDescent="0.25">
      <c r="A15" s="382" t="s">
        <v>182</v>
      </c>
      <c r="B15" s="262" t="s">
        <v>84</v>
      </c>
      <c r="C15" s="286" t="s">
        <v>2</v>
      </c>
      <c r="D15" s="138" t="str">
        <f>'User Inputs'!C45</f>
        <v>&lt;0.9</v>
      </c>
      <c r="E15" s="301"/>
      <c r="F15" s="291"/>
      <c r="G15" s="292"/>
      <c r="H15" s="135" t="str">
        <f>C15</f>
        <v>&lt;0.9</v>
      </c>
      <c r="I15" s="287"/>
      <c r="J15" s="266"/>
      <c r="K15" s="265" t="str">
        <f>C16</f>
        <v>≥0.9</v>
      </c>
      <c r="L15" s="135" t="str">
        <f>C17</f>
        <v>Do not know.</v>
      </c>
      <c r="N15" s="333" t="str">
        <f>IF('Action Results'!C16="N/A","No","Yes")</f>
        <v>Yes</v>
      </c>
      <c r="O15" s="262" t="s">
        <v>489</v>
      </c>
      <c r="P15" s="301"/>
      <c r="Q15" s="424" t="str">
        <f>IF(N15="No","N/A",C16)</f>
        <v>≥0.9</v>
      </c>
      <c r="S15" s="267"/>
      <c r="T15" s="135" t="str">
        <f>C15</f>
        <v>&lt;0.9</v>
      </c>
      <c r="U15" s="135" t="str">
        <f>C16</f>
        <v>≥0.9</v>
      </c>
      <c r="V15" s="266"/>
      <c r="W15" s="266"/>
      <c r="Y15" s="268" t="str">
        <f>D15</f>
        <v>&lt;0.9</v>
      </c>
      <c r="Z15" s="437" t="str">
        <f>Q15</f>
        <v>≥0.9</v>
      </c>
      <c r="AA15" s="269">
        <f>IF(OR(N15="No",Z15="N/A"),0,INDEX(T16:U17,MATCH(Y15,S16:S17,0),MATCH(Z15,T15:U15,0)))</f>
        <v>2</v>
      </c>
      <c r="AB15" s="252">
        <f>AA15/100*'User Inputs'!$C$39</f>
        <v>20000</v>
      </c>
      <c r="AC15" s="223">
        <f>AB15*'User Inputs'!$C$32/100</f>
        <v>3000</v>
      </c>
      <c r="AD15" s="270">
        <f>'Action Results'!I16</f>
        <v>8000</v>
      </c>
      <c r="AE15" s="269">
        <f>IF(AC15=0,0,AD15/AC15)</f>
        <v>2.6666666666666665</v>
      </c>
    </row>
    <row r="16" spans="1:31" s="129" customFormat="1" ht="41.4" x14ac:dyDescent="0.25">
      <c r="A16" s="271"/>
      <c r="B16" s="272"/>
      <c r="C16" s="286" t="s">
        <v>4</v>
      </c>
      <c r="D16" s="301"/>
      <c r="E16" s="301"/>
      <c r="F16" s="299"/>
      <c r="G16" s="274" t="s">
        <v>78</v>
      </c>
      <c r="H16" s="262" t="s">
        <v>346</v>
      </c>
      <c r="I16" s="287"/>
      <c r="J16" s="287"/>
      <c r="K16" s="302"/>
      <c r="L16" s="262" t="s">
        <v>106</v>
      </c>
      <c r="N16" s="272"/>
      <c r="O16" s="272"/>
      <c r="P16" s="301"/>
      <c r="Q16" s="301"/>
      <c r="S16" s="135" t="str">
        <f>C15</f>
        <v>&lt;0.9</v>
      </c>
      <c r="T16" s="276">
        <v>0</v>
      </c>
      <c r="U16" s="276">
        <v>2</v>
      </c>
      <c r="V16" s="266"/>
      <c r="W16" s="266"/>
      <c r="AE16" s="303"/>
    </row>
    <row r="17" spans="1:31" s="129" customFormat="1" x14ac:dyDescent="0.25">
      <c r="A17" s="271"/>
      <c r="B17" s="272"/>
      <c r="C17" s="232" t="s">
        <v>117</v>
      </c>
      <c r="D17" s="301"/>
      <c r="E17" s="301"/>
      <c r="F17" s="299"/>
      <c r="G17" s="288"/>
      <c r="H17" s="289"/>
      <c r="I17" s="290"/>
      <c r="J17" s="290"/>
      <c r="K17" s="272"/>
      <c r="L17" s="272"/>
      <c r="N17" s="272"/>
      <c r="O17" s="272"/>
      <c r="P17" s="301"/>
      <c r="Q17" s="301"/>
      <c r="S17" s="280" t="str">
        <f>C16</f>
        <v>≥0.9</v>
      </c>
      <c r="T17" s="276">
        <v>0</v>
      </c>
      <c r="U17" s="276">
        <v>0</v>
      </c>
      <c r="V17" s="281"/>
      <c r="W17" s="281"/>
      <c r="AE17" s="303"/>
    </row>
    <row r="18" spans="1:31" s="129" customFormat="1" x14ac:dyDescent="0.25">
      <c r="A18" s="271"/>
      <c r="B18" s="272"/>
      <c r="C18" s="284"/>
      <c r="D18" s="282"/>
      <c r="E18" s="301"/>
      <c r="F18" s="299"/>
      <c r="G18" s="288"/>
      <c r="H18" s="289"/>
      <c r="I18" s="290"/>
      <c r="J18" s="290"/>
      <c r="K18" s="272"/>
      <c r="L18" s="272"/>
      <c r="N18" s="272"/>
      <c r="O18" s="272"/>
      <c r="P18" s="301"/>
      <c r="Q18" s="282"/>
      <c r="S18" s="285"/>
      <c r="T18" s="285"/>
      <c r="U18" s="285"/>
      <c r="V18" s="281"/>
      <c r="W18" s="281"/>
      <c r="AE18" s="303"/>
    </row>
    <row r="19" spans="1:31" s="129" customFormat="1" x14ac:dyDescent="0.25">
      <c r="A19" s="271"/>
      <c r="B19" s="272"/>
      <c r="C19" s="284"/>
      <c r="D19" s="282"/>
      <c r="E19" s="301"/>
      <c r="F19" s="299"/>
      <c r="G19" s="288"/>
      <c r="H19" s="289"/>
      <c r="I19" s="290"/>
      <c r="J19" s="290"/>
      <c r="K19" s="272"/>
      <c r="L19" s="272"/>
      <c r="N19" s="272"/>
      <c r="O19" s="272"/>
      <c r="P19" s="301"/>
      <c r="Q19" s="282"/>
      <c r="S19" s="285"/>
      <c r="T19" s="285"/>
      <c r="U19" s="285"/>
      <c r="V19" s="281"/>
      <c r="W19" s="281"/>
      <c r="AE19" s="303"/>
    </row>
    <row r="20" spans="1:31" s="129" customFormat="1" x14ac:dyDescent="0.25">
      <c r="A20" s="259"/>
      <c r="B20" s="260"/>
      <c r="C20" s="259"/>
      <c r="D20" s="260"/>
      <c r="E20" s="260"/>
      <c r="F20" s="260"/>
      <c r="G20" s="260"/>
      <c r="H20" s="202"/>
      <c r="I20" s="202"/>
      <c r="J20" s="202"/>
      <c r="K20" s="202"/>
      <c r="L20" s="202"/>
      <c r="M20" s="202"/>
      <c r="N20" s="202"/>
      <c r="O20" s="202"/>
      <c r="P20" s="202"/>
      <c r="Q20" s="202"/>
      <c r="R20" s="202"/>
      <c r="S20" s="202"/>
      <c r="T20" s="202"/>
      <c r="U20" s="260"/>
      <c r="V20" s="260"/>
      <c r="W20" s="260"/>
      <c r="X20" s="260"/>
      <c r="Y20" s="260"/>
      <c r="Z20" s="260"/>
      <c r="AA20" s="202"/>
      <c r="AB20" s="202"/>
      <c r="AC20" s="202"/>
      <c r="AD20" s="202"/>
      <c r="AE20" s="261"/>
    </row>
    <row r="21" spans="1:31" s="129" customFormat="1" ht="57.75" customHeight="1" x14ac:dyDescent="0.25">
      <c r="A21" s="382" t="s">
        <v>183</v>
      </c>
      <c r="B21" s="262" t="s">
        <v>21</v>
      </c>
      <c r="C21" s="286" t="s">
        <v>3</v>
      </c>
      <c r="D21" s="138" t="str">
        <f>'User Inputs'!C46</f>
        <v>&gt;5%</v>
      </c>
      <c r="E21" s="301"/>
      <c r="F21" s="291"/>
      <c r="G21" s="292"/>
      <c r="H21" s="135" t="str">
        <f>C21</f>
        <v>&gt;5%</v>
      </c>
      <c r="I21" s="287"/>
      <c r="J21" s="266"/>
      <c r="K21" s="265" t="str">
        <f>C22</f>
        <v>≤5%</v>
      </c>
      <c r="L21" s="135" t="str">
        <f>C23</f>
        <v>Do not know.</v>
      </c>
      <c r="M21" s="128"/>
      <c r="N21" s="333" t="str">
        <f>IF('Action Results'!C17="N/A","No","Yes")</f>
        <v>Yes</v>
      </c>
      <c r="O21" s="262" t="s">
        <v>490</v>
      </c>
      <c r="P21" s="301"/>
      <c r="Q21" s="424" t="str">
        <f>IF(N21="No","N/A",C22)</f>
        <v>≤5%</v>
      </c>
      <c r="R21" s="128"/>
      <c r="S21" s="267"/>
      <c r="T21" s="369" t="str">
        <f>C21</f>
        <v>&gt;5%</v>
      </c>
      <c r="U21" s="369" t="str">
        <f>C22</f>
        <v>≤5%</v>
      </c>
      <c r="V21" s="266"/>
      <c r="W21" s="266"/>
      <c r="X21" s="128"/>
      <c r="Y21" s="268" t="str">
        <f>D21</f>
        <v>&gt;5%</v>
      </c>
      <c r="Z21" s="437" t="str">
        <f>Q21</f>
        <v>≤5%</v>
      </c>
      <c r="AA21" s="269">
        <f>IF(OR(N21="No",Z21="N/A"),0,INDEX(T22:U23,MATCH(Y21,S22:S23,0),MATCH(Z21,T21:U21,0)))</f>
        <v>0.5</v>
      </c>
      <c r="AB21" s="252">
        <f>AA21/100*'User Inputs'!$C$39</f>
        <v>5000</v>
      </c>
      <c r="AC21" s="223">
        <f>AB21*'User Inputs'!$C$32/100</f>
        <v>750</v>
      </c>
      <c r="AD21" s="270">
        <f>'Action Results'!I17</f>
        <v>10000</v>
      </c>
      <c r="AE21" s="269">
        <f>IF(AC21=0,0,AD21/AC21)</f>
        <v>13.333333333333334</v>
      </c>
    </row>
    <row r="22" spans="1:31" s="129" customFormat="1" ht="41.4" x14ac:dyDescent="0.25">
      <c r="A22" s="271"/>
      <c r="B22" s="272"/>
      <c r="C22" s="286" t="s">
        <v>17</v>
      </c>
      <c r="D22" s="301"/>
      <c r="E22" s="301"/>
      <c r="F22" s="299"/>
      <c r="G22" s="274" t="s">
        <v>78</v>
      </c>
      <c r="H22" s="262" t="s">
        <v>347</v>
      </c>
      <c r="I22" s="287"/>
      <c r="J22" s="287"/>
      <c r="K22" s="302"/>
      <c r="L22" s="262" t="s">
        <v>97</v>
      </c>
      <c r="M22" s="128"/>
      <c r="N22" s="272"/>
      <c r="O22" s="272"/>
      <c r="P22" s="301"/>
      <c r="Q22" s="301"/>
      <c r="R22" s="128"/>
      <c r="S22" s="135" t="str">
        <f>C21</f>
        <v>&gt;5%</v>
      </c>
      <c r="T22" s="276">
        <v>0</v>
      </c>
      <c r="U22" s="276">
        <v>0.5</v>
      </c>
      <c r="V22" s="266"/>
      <c r="W22" s="266"/>
      <c r="X22" s="128"/>
      <c r="Y22" s="128"/>
      <c r="Z22" s="128"/>
      <c r="AA22" s="128"/>
      <c r="AB22" s="128"/>
      <c r="AC22" s="128"/>
      <c r="AD22" s="128"/>
      <c r="AE22" s="277"/>
    </row>
    <row r="23" spans="1:31" s="129" customFormat="1" ht="21" customHeight="1" x14ac:dyDescent="0.25">
      <c r="A23" s="271"/>
      <c r="B23" s="272"/>
      <c r="C23" s="232" t="s">
        <v>117</v>
      </c>
      <c r="D23" s="301"/>
      <c r="E23" s="301"/>
      <c r="F23" s="299"/>
      <c r="G23" s="288"/>
      <c r="H23" s="289"/>
      <c r="I23" s="290"/>
      <c r="J23" s="290"/>
      <c r="K23" s="272"/>
      <c r="L23" s="272"/>
      <c r="M23" s="128"/>
      <c r="N23" s="272"/>
      <c r="O23" s="272"/>
      <c r="P23" s="301"/>
      <c r="Q23" s="301"/>
      <c r="R23" s="128"/>
      <c r="S23" s="280" t="str">
        <f>C22</f>
        <v>≤5%</v>
      </c>
      <c r="T23" s="276">
        <v>0</v>
      </c>
      <c r="U23" s="276">
        <v>0</v>
      </c>
      <c r="V23" s="281"/>
      <c r="W23" s="281"/>
      <c r="X23" s="128"/>
      <c r="Y23" s="128"/>
      <c r="Z23" s="128"/>
      <c r="AA23" s="128"/>
      <c r="AB23" s="128"/>
      <c r="AC23" s="128"/>
      <c r="AD23" s="128"/>
      <c r="AE23" s="277"/>
    </row>
    <row r="24" spans="1:31" s="129" customFormat="1" x14ac:dyDescent="0.25">
      <c r="A24" s="271"/>
      <c r="B24" s="272"/>
      <c r="C24" s="284"/>
      <c r="D24" s="282"/>
      <c r="E24" s="301"/>
      <c r="F24" s="299"/>
      <c r="G24" s="288"/>
      <c r="H24" s="289"/>
      <c r="I24" s="290"/>
      <c r="J24" s="290"/>
      <c r="K24" s="272"/>
      <c r="L24" s="272"/>
      <c r="M24" s="128"/>
      <c r="N24" s="272"/>
      <c r="O24" s="272"/>
      <c r="P24" s="301"/>
      <c r="Q24" s="282"/>
      <c r="R24" s="128"/>
      <c r="S24" s="285"/>
      <c r="T24" s="285"/>
      <c r="U24" s="285"/>
      <c r="V24" s="281"/>
      <c r="W24" s="281"/>
      <c r="X24" s="128"/>
      <c r="Y24" s="128"/>
      <c r="Z24" s="128"/>
      <c r="AA24" s="128"/>
      <c r="AB24" s="128"/>
      <c r="AC24" s="128"/>
      <c r="AD24" s="128"/>
      <c r="AE24" s="277"/>
    </row>
    <row r="25" spans="1:31" s="129" customFormat="1" x14ac:dyDescent="0.25">
      <c r="A25" s="271"/>
      <c r="B25" s="272"/>
      <c r="C25" s="284"/>
      <c r="D25" s="282"/>
      <c r="E25" s="301"/>
      <c r="F25" s="299"/>
      <c r="G25" s="288"/>
      <c r="H25" s="289"/>
      <c r="I25" s="290"/>
      <c r="J25" s="290"/>
      <c r="K25" s="272"/>
      <c r="L25" s="272"/>
      <c r="M25" s="128"/>
      <c r="N25" s="272"/>
      <c r="O25" s="272"/>
      <c r="P25" s="301"/>
      <c r="Q25" s="282"/>
      <c r="R25" s="128"/>
      <c r="S25" s="285"/>
      <c r="T25" s="285"/>
      <c r="U25" s="285"/>
      <c r="V25" s="281"/>
      <c r="W25" s="281"/>
      <c r="X25" s="128"/>
      <c r="Y25" s="128"/>
      <c r="Z25" s="128"/>
      <c r="AA25" s="128"/>
      <c r="AB25" s="128"/>
      <c r="AC25" s="128"/>
      <c r="AD25" s="128"/>
      <c r="AE25" s="277"/>
    </row>
    <row r="26" spans="1:31" s="129" customFormat="1" x14ac:dyDescent="0.25">
      <c r="A26" s="259"/>
      <c r="B26" s="260"/>
      <c r="C26" s="259"/>
      <c r="D26" s="260"/>
      <c r="E26" s="260"/>
      <c r="F26" s="260"/>
      <c r="G26" s="260"/>
      <c r="H26" s="202"/>
      <c r="I26" s="202"/>
      <c r="J26" s="202"/>
      <c r="K26" s="202"/>
      <c r="L26" s="202"/>
      <c r="M26" s="202"/>
      <c r="N26" s="202"/>
      <c r="O26" s="260"/>
      <c r="P26" s="259"/>
      <c r="Q26" s="260"/>
      <c r="R26" s="202"/>
      <c r="S26" s="202"/>
      <c r="T26" s="202"/>
      <c r="U26" s="260"/>
      <c r="V26" s="260"/>
      <c r="W26" s="260"/>
      <c r="X26" s="260"/>
      <c r="Y26" s="260"/>
      <c r="Z26" s="260"/>
      <c r="AA26" s="202"/>
      <c r="AB26" s="202"/>
      <c r="AC26" s="202"/>
      <c r="AD26" s="202"/>
      <c r="AE26" s="261"/>
    </row>
    <row r="27" spans="1:31" s="129" customFormat="1" ht="45" customHeight="1" x14ac:dyDescent="0.25">
      <c r="A27" s="382" t="s">
        <v>184</v>
      </c>
      <c r="B27" s="262" t="s">
        <v>382</v>
      </c>
      <c r="C27" s="286" t="s">
        <v>408</v>
      </c>
      <c r="D27" s="138" t="str">
        <f>'User Inputs'!C47</f>
        <v>Out of balance by more than 10%.</v>
      </c>
      <c r="E27" s="301"/>
      <c r="F27" s="291"/>
      <c r="G27" s="292"/>
      <c r="H27" s="135" t="str">
        <f>C27</f>
        <v>Out of balance by more than 10%.</v>
      </c>
      <c r="I27" s="287"/>
      <c r="J27" s="266"/>
      <c r="K27" s="265" t="str">
        <f>C28</f>
        <v>Balanced to within 10% or less.</v>
      </c>
      <c r="L27" s="135" t="str">
        <f>C29</f>
        <v>Do not know.</v>
      </c>
      <c r="M27" s="128"/>
      <c r="N27" s="333" t="str">
        <f>IF('Action Results'!C18="N/A","No","Yes")</f>
        <v>Yes</v>
      </c>
      <c r="O27" s="262" t="s">
        <v>491</v>
      </c>
      <c r="P27" s="301"/>
      <c r="Q27" s="424" t="str">
        <f>IF(N27="No","N/A",C28)</f>
        <v>Balanced to within 10% or less.</v>
      </c>
      <c r="R27" s="128"/>
      <c r="S27" s="267"/>
      <c r="T27" s="369" t="str">
        <f>C27</f>
        <v>Out of balance by more than 10%.</v>
      </c>
      <c r="U27" s="369" t="str">
        <f>C28</f>
        <v>Balanced to within 10% or less.</v>
      </c>
      <c r="V27" s="266"/>
      <c r="W27" s="266"/>
      <c r="X27" s="128"/>
      <c r="Y27" s="268" t="str">
        <f>D27</f>
        <v>Out of balance by more than 10%.</v>
      </c>
      <c r="Z27" s="437" t="str">
        <f>Q27</f>
        <v>Balanced to within 10% or less.</v>
      </c>
      <c r="AA27" s="269">
        <f>IF(OR(N27="No",Z27="N/A"),0,INDEX(T28:U29,MATCH(Y27,S28:S29,0),MATCH(Z27,T27:U27,0)))</f>
        <v>0.5</v>
      </c>
      <c r="AB27" s="252">
        <f>AA27/100*'User Inputs'!$C$39</f>
        <v>5000</v>
      </c>
      <c r="AC27" s="223">
        <f>AB27*'User Inputs'!$C$32/100</f>
        <v>750</v>
      </c>
      <c r="AD27" s="270">
        <f>'Action Results'!I18</f>
        <v>20000</v>
      </c>
      <c r="AE27" s="269">
        <f>IF(AC27=0,0,AD27/AC27)</f>
        <v>26.666666666666668</v>
      </c>
    </row>
    <row r="28" spans="1:31" s="129" customFormat="1" ht="66.75" customHeight="1" x14ac:dyDescent="0.25">
      <c r="A28" s="271"/>
      <c r="B28" s="272"/>
      <c r="C28" s="286" t="s">
        <v>387</v>
      </c>
      <c r="D28" s="301"/>
      <c r="E28" s="301"/>
      <c r="F28" s="299"/>
      <c r="G28" s="274" t="s">
        <v>78</v>
      </c>
      <c r="H28" s="262" t="s">
        <v>353</v>
      </c>
      <c r="I28" s="287"/>
      <c r="J28" s="287"/>
      <c r="K28" s="302"/>
      <c r="L28" s="262" t="s">
        <v>388</v>
      </c>
      <c r="M28" s="128"/>
      <c r="N28" s="272"/>
      <c r="O28" s="272"/>
      <c r="P28" s="301"/>
      <c r="Q28" s="301"/>
      <c r="R28" s="128"/>
      <c r="S28" s="135" t="str">
        <f>C27</f>
        <v>Out of balance by more than 10%.</v>
      </c>
      <c r="T28" s="276">
        <v>0</v>
      </c>
      <c r="U28" s="276">
        <v>0.5</v>
      </c>
      <c r="V28" s="266"/>
      <c r="W28" s="266"/>
      <c r="X28" s="128"/>
      <c r="Y28" s="128"/>
      <c r="Z28" s="128"/>
      <c r="AA28" s="128"/>
      <c r="AB28" s="128"/>
      <c r="AC28" s="128"/>
      <c r="AD28" s="128"/>
      <c r="AE28" s="277"/>
    </row>
    <row r="29" spans="1:31" s="129" customFormat="1" ht="27.6" x14ac:dyDescent="0.25">
      <c r="A29" s="271"/>
      <c r="B29" s="272"/>
      <c r="C29" s="232" t="s">
        <v>117</v>
      </c>
      <c r="D29" s="301"/>
      <c r="E29" s="301"/>
      <c r="F29" s="299"/>
      <c r="G29" s="288"/>
      <c r="H29" s="289"/>
      <c r="I29" s="290"/>
      <c r="J29" s="290"/>
      <c r="K29" s="272"/>
      <c r="L29" s="272"/>
      <c r="M29" s="128"/>
      <c r="N29" s="272"/>
      <c r="O29" s="272"/>
      <c r="P29" s="301"/>
      <c r="Q29" s="301"/>
      <c r="R29" s="128"/>
      <c r="S29" s="327" t="str">
        <f>C28</f>
        <v>Balanced to within 10% or less.</v>
      </c>
      <c r="T29" s="276">
        <v>0</v>
      </c>
      <c r="U29" s="276">
        <v>0</v>
      </c>
      <c r="V29" s="281"/>
      <c r="W29" s="281"/>
      <c r="X29" s="128"/>
      <c r="Y29" s="128"/>
      <c r="Z29" s="128"/>
      <c r="AA29" s="128"/>
      <c r="AB29" s="128"/>
      <c r="AC29" s="128"/>
      <c r="AD29" s="128"/>
      <c r="AE29" s="277"/>
    </row>
    <row r="30" spans="1:31" s="129" customFormat="1" x14ac:dyDescent="0.25">
      <c r="A30" s="271"/>
      <c r="B30" s="272"/>
      <c r="C30" s="284"/>
      <c r="D30" s="282"/>
      <c r="E30" s="301"/>
      <c r="F30" s="299"/>
      <c r="G30" s="288"/>
      <c r="H30" s="289"/>
      <c r="I30" s="290"/>
      <c r="J30" s="290"/>
      <c r="K30" s="272"/>
      <c r="L30" s="272"/>
      <c r="M30" s="128"/>
      <c r="N30" s="272"/>
      <c r="O30" s="272"/>
      <c r="P30" s="301"/>
      <c r="Q30" s="282"/>
      <c r="R30" s="128"/>
      <c r="S30" s="285"/>
      <c r="T30" s="285"/>
      <c r="U30" s="285"/>
      <c r="V30" s="281"/>
      <c r="W30" s="281"/>
      <c r="X30" s="128"/>
      <c r="Y30" s="128"/>
      <c r="Z30" s="128"/>
      <c r="AA30" s="128"/>
      <c r="AB30" s="128"/>
      <c r="AC30" s="128"/>
      <c r="AD30" s="128"/>
      <c r="AE30" s="277"/>
    </row>
    <row r="31" spans="1:31" s="129" customFormat="1" x14ac:dyDescent="0.25">
      <c r="A31" s="271"/>
      <c r="B31" s="272"/>
      <c r="C31" s="284"/>
      <c r="D31" s="282"/>
      <c r="E31" s="301"/>
      <c r="F31" s="299"/>
      <c r="G31" s="288"/>
      <c r="H31" s="289"/>
      <c r="I31" s="290"/>
      <c r="J31" s="290"/>
      <c r="K31" s="272"/>
      <c r="L31" s="272"/>
      <c r="M31" s="128"/>
      <c r="N31" s="272"/>
      <c r="O31" s="272"/>
      <c r="P31" s="301"/>
      <c r="Q31" s="282"/>
      <c r="R31" s="128"/>
      <c r="S31" s="285"/>
      <c r="T31" s="285"/>
      <c r="U31" s="285"/>
      <c r="V31" s="281"/>
      <c r="W31" s="281"/>
      <c r="X31" s="128"/>
      <c r="Y31" s="128"/>
      <c r="Z31" s="128"/>
      <c r="AA31" s="128"/>
      <c r="AB31" s="128"/>
      <c r="AC31" s="128"/>
      <c r="AD31" s="128"/>
      <c r="AE31" s="277"/>
    </row>
    <row r="32" spans="1:31" s="129" customFormat="1" x14ac:dyDescent="0.25">
      <c r="A32" s="259"/>
      <c r="B32" s="260"/>
      <c r="C32" s="259"/>
      <c r="D32" s="260"/>
      <c r="E32" s="260"/>
      <c r="F32" s="260"/>
      <c r="G32" s="260"/>
      <c r="H32" s="202"/>
      <c r="I32" s="202"/>
      <c r="J32" s="202"/>
      <c r="K32" s="202"/>
      <c r="L32" s="202"/>
      <c r="M32" s="202"/>
      <c r="N32" s="202"/>
      <c r="O32" s="260"/>
      <c r="P32" s="259"/>
      <c r="Q32" s="260"/>
      <c r="R32" s="202"/>
      <c r="S32" s="202"/>
      <c r="T32" s="202"/>
      <c r="U32" s="260"/>
      <c r="V32" s="260"/>
      <c r="W32" s="260"/>
      <c r="X32" s="260"/>
      <c r="Y32" s="260"/>
      <c r="Z32" s="260"/>
      <c r="AA32" s="202"/>
      <c r="AB32" s="202"/>
      <c r="AC32" s="202"/>
      <c r="AD32" s="202"/>
      <c r="AE32" s="261"/>
    </row>
    <row r="33" spans="1:31" s="129" customFormat="1" ht="51" customHeight="1" x14ac:dyDescent="0.25">
      <c r="A33" s="382" t="s">
        <v>185</v>
      </c>
      <c r="B33" s="262" t="s">
        <v>383</v>
      </c>
      <c r="C33" s="262" t="s">
        <v>288</v>
      </c>
      <c r="D33" s="138" t="str">
        <f>'User Inputs'!C48</f>
        <v>Temp rise ≥150 C and age &gt;15 years old.</v>
      </c>
      <c r="E33" s="301"/>
      <c r="F33" s="291"/>
      <c r="G33" s="292"/>
      <c r="H33" s="135" t="str">
        <f>C33</f>
        <v>Temp rise ≥150 C and age &gt;15 years old.</v>
      </c>
      <c r="I33" s="135" t="str">
        <f>C34</f>
        <v>Temp rise ≥150 C and age ≤15 years old.</v>
      </c>
      <c r="J33" s="265" t="str">
        <f>C35</f>
        <v>Temp rise &lt; 150 C and age ≥ 15 years old.</v>
      </c>
      <c r="K33" s="135" t="str">
        <f>C36</f>
        <v>Temp rise &lt; 150 C and age &lt; 15 years old.</v>
      </c>
      <c r="L33" s="135" t="str">
        <f>C38</f>
        <v>Do not know.</v>
      </c>
      <c r="N33" s="333" t="str">
        <f>IF('Action Results'!C19="N/A","No","Yes")</f>
        <v>Yes</v>
      </c>
      <c r="O33" s="262" t="s">
        <v>492</v>
      </c>
      <c r="P33" s="301"/>
      <c r="Q33" s="424" t="str">
        <f>IF(N33="No","N/A",C36)</f>
        <v>Temp rise &lt; 150 C and age &lt; 15 years old.</v>
      </c>
      <c r="S33" s="267"/>
      <c r="T33" s="327" t="str">
        <f>C33</f>
        <v>Temp rise ≥150 C and age &gt;15 years old.</v>
      </c>
      <c r="U33" s="327" t="str">
        <f>C34</f>
        <v>Temp rise ≥150 C and age ≤15 years old.</v>
      </c>
      <c r="V33" s="327" t="str">
        <f>C35</f>
        <v>Temp rise &lt; 150 C and age ≥ 15 years old.</v>
      </c>
      <c r="W33" s="327" t="str">
        <f>C36</f>
        <v>Temp rise &lt; 150 C and age &lt; 15 years old.</v>
      </c>
      <c r="X33" s="128"/>
      <c r="Y33" s="268" t="str">
        <f>D33</f>
        <v>Temp rise ≥150 C and age &gt;15 years old.</v>
      </c>
      <c r="Z33" s="437" t="str">
        <f>Q33</f>
        <v>Temp rise &lt; 150 C and age &lt; 15 years old.</v>
      </c>
      <c r="AA33" s="269">
        <f>IF(OR(N33="No",Z33="N/A"),0,INDEX(T34:W37,MATCH(Y33,S34:S37,0),MATCH(Z33,T33:W33,0)))</f>
        <v>1</v>
      </c>
      <c r="AB33" s="252">
        <f>AA33/100*'User Inputs'!$C$39</f>
        <v>10000</v>
      </c>
      <c r="AC33" s="223">
        <f>AB33*'User Inputs'!$C$32/100</f>
        <v>1500</v>
      </c>
      <c r="AD33" s="270">
        <f>'Action Results'!I19</f>
        <v>50000</v>
      </c>
      <c r="AE33" s="269">
        <f>IF(AC33=0,0,AD33/AC33)</f>
        <v>33.333333333333336</v>
      </c>
    </row>
    <row r="34" spans="1:31" s="129" customFormat="1" ht="41.4" x14ac:dyDescent="0.25">
      <c r="A34" s="271"/>
      <c r="B34" s="272"/>
      <c r="C34" s="262" t="s">
        <v>289</v>
      </c>
      <c r="D34" s="293"/>
      <c r="E34" s="301"/>
      <c r="F34" s="294"/>
      <c r="G34" s="274" t="s">
        <v>78</v>
      </c>
      <c r="H34" s="262" t="s">
        <v>345</v>
      </c>
      <c r="I34" s="142" t="str">
        <f>H34</f>
        <v>Use High Efficiency MV and LV Transformers.</v>
      </c>
      <c r="J34" s="142" t="str">
        <f>H34</f>
        <v>Use High Efficiency MV and LV Transformers.</v>
      </c>
      <c r="K34" s="272"/>
      <c r="L34" s="262" t="s">
        <v>389</v>
      </c>
      <c r="N34" s="272"/>
      <c r="O34" s="272"/>
      <c r="P34" s="301"/>
      <c r="Q34" s="293"/>
      <c r="S34" s="135" t="str">
        <f>C33</f>
        <v>Temp rise ≥150 C and age &gt;15 years old.</v>
      </c>
      <c r="T34" s="276">
        <v>0</v>
      </c>
      <c r="U34" s="276">
        <v>0</v>
      </c>
      <c r="V34" s="276">
        <v>0</v>
      </c>
      <c r="W34" s="276">
        <v>1</v>
      </c>
      <c r="X34" s="128"/>
      <c r="Y34" s="128"/>
      <c r="Z34" s="128"/>
      <c r="AA34" s="128"/>
      <c r="AB34" s="128"/>
      <c r="AC34" s="128"/>
      <c r="AD34" s="128"/>
      <c r="AE34" s="277"/>
    </row>
    <row r="35" spans="1:31" s="129" customFormat="1" ht="41.4" x14ac:dyDescent="0.25">
      <c r="A35" s="271"/>
      <c r="B35" s="272"/>
      <c r="C35" s="262" t="s">
        <v>290</v>
      </c>
      <c r="D35" s="293"/>
      <c r="E35" s="301"/>
      <c r="F35" s="294"/>
      <c r="G35" s="288"/>
      <c r="H35" s="289"/>
      <c r="I35" s="290"/>
      <c r="J35" s="290"/>
      <c r="K35" s="272"/>
      <c r="L35" s="272"/>
      <c r="N35" s="272"/>
      <c r="O35" s="272"/>
      <c r="P35" s="301"/>
      <c r="Q35" s="293"/>
      <c r="S35" s="135" t="str">
        <f>C34</f>
        <v>Temp rise ≥150 C and age ≤15 years old.</v>
      </c>
      <c r="T35" s="276">
        <v>0</v>
      </c>
      <c r="U35" s="276">
        <v>0</v>
      </c>
      <c r="V35" s="276">
        <v>0</v>
      </c>
      <c r="W35" s="276">
        <v>1</v>
      </c>
      <c r="X35" s="128"/>
      <c r="Y35" s="128"/>
      <c r="Z35" s="128"/>
      <c r="AA35" s="128"/>
      <c r="AB35" s="128"/>
      <c r="AC35" s="128"/>
      <c r="AD35" s="128"/>
      <c r="AE35" s="277"/>
    </row>
    <row r="36" spans="1:31" s="129" customFormat="1" ht="41.4" x14ac:dyDescent="0.25">
      <c r="A36" s="271"/>
      <c r="B36" s="272"/>
      <c r="C36" s="262" t="s">
        <v>291</v>
      </c>
      <c r="D36" s="293"/>
      <c r="E36" s="301"/>
      <c r="F36" s="294"/>
      <c r="G36" s="288"/>
      <c r="H36" s="289"/>
      <c r="I36" s="290"/>
      <c r="J36" s="290"/>
      <c r="K36" s="272"/>
      <c r="L36" s="272"/>
      <c r="N36" s="272"/>
      <c r="O36" s="272"/>
      <c r="P36" s="301"/>
      <c r="Q36" s="293"/>
      <c r="S36" s="135" t="str">
        <f>C35</f>
        <v>Temp rise &lt; 150 C and age ≥ 15 years old.</v>
      </c>
      <c r="T36" s="276">
        <v>0</v>
      </c>
      <c r="U36" s="276">
        <v>0</v>
      </c>
      <c r="V36" s="276">
        <v>0</v>
      </c>
      <c r="W36" s="276">
        <v>1</v>
      </c>
      <c r="X36" s="128"/>
      <c r="Y36" s="128"/>
      <c r="Z36" s="128"/>
      <c r="AA36" s="128"/>
      <c r="AB36" s="128"/>
      <c r="AC36" s="128"/>
      <c r="AD36" s="128"/>
      <c r="AE36" s="277"/>
    </row>
    <row r="37" spans="1:31" s="129" customFormat="1" ht="41.4" x14ac:dyDescent="0.25">
      <c r="A37" s="271"/>
      <c r="B37" s="272"/>
      <c r="C37" s="232" t="s">
        <v>384</v>
      </c>
      <c r="D37" s="293"/>
      <c r="E37" s="301"/>
      <c r="F37" s="294"/>
      <c r="G37" s="288"/>
      <c r="H37" s="289"/>
      <c r="I37" s="290"/>
      <c r="J37" s="290"/>
      <c r="K37" s="272"/>
      <c r="L37" s="272"/>
      <c r="N37" s="272"/>
      <c r="O37" s="272"/>
      <c r="P37" s="301"/>
      <c r="Q37" s="293"/>
      <c r="S37" s="135" t="str">
        <f>C36</f>
        <v>Temp rise &lt; 150 C and age &lt; 15 years old.</v>
      </c>
      <c r="T37" s="276">
        <v>0</v>
      </c>
      <c r="U37" s="276">
        <v>0</v>
      </c>
      <c r="V37" s="276">
        <v>0</v>
      </c>
      <c r="W37" s="276">
        <v>0</v>
      </c>
      <c r="X37" s="128"/>
      <c r="Y37" s="128"/>
      <c r="Z37" s="128"/>
      <c r="AA37" s="128"/>
      <c r="AB37" s="128"/>
      <c r="AC37" s="128"/>
      <c r="AD37" s="128"/>
      <c r="AE37" s="277"/>
    </row>
    <row r="38" spans="1:31" s="129" customFormat="1" ht="21" customHeight="1" x14ac:dyDescent="0.25">
      <c r="A38" s="271"/>
      <c r="B38" s="272"/>
      <c r="C38" s="322" t="s">
        <v>117</v>
      </c>
      <c r="D38" s="293"/>
      <c r="E38" s="301"/>
      <c r="F38" s="294"/>
      <c r="G38" s="288"/>
      <c r="H38" s="289"/>
      <c r="I38" s="290"/>
      <c r="J38" s="290"/>
      <c r="K38" s="272"/>
      <c r="L38" s="272"/>
      <c r="N38" s="272"/>
      <c r="O38" s="272"/>
      <c r="P38" s="301"/>
      <c r="Q38" s="293"/>
      <c r="S38" s="285"/>
      <c r="T38" s="285"/>
      <c r="U38" s="285"/>
      <c r="V38" s="281"/>
      <c r="W38" s="281"/>
      <c r="X38" s="128"/>
      <c r="Y38" s="128"/>
      <c r="Z38" s="128"/>
      <c r="AA38" s="128"/>
      <c r="AB38" s="128"/>
      <c r="AC38" s="128"/>
      <c r="AD38" s="128"/>
      <c r="AE38" s="277"/>
    </row>
    <row r="39" spans="1:31" s="129" customFormat="1" x14ac:dyDescent="0.25">
      <c r="A39" s="259"/>
      <c r="B39" s="260"/>
      <c r="C39" s="259"/>
      <c r="D39" s="260"/>
      <c r="E39" s="260"/>
      <c r="F39" s="260"/>
      <c r="G39" s="260"/>
      <c r="H39" s="202"/>
      <c r="I39" s="202"/>
      <c r="J39" s="202"/>
      <c r="K39" s="202"/>
      <c r="L39" s="202"/>
      <c r="M39" s="202"/>
      <c r="N39" s="202"/>
      <c r="O39" s="202"/>
      <c r="P39" s="202"/>
      <c r="Q39" s="202"/>
      <c r="R39" s="202"/>
      <c r="S39" s="202"/>
      <c r="T39" s="202"/>
      <c r="U39" s="260"/>
      <c r="V39" s="260"/>
      <c r="W39" s="260"/>
      <c r="X39" s="260"/>
      <c r="Y39" s="260"/>
      <c r="Z39" s="260"/>
      <c r="AA39" s="202"/>
      <c r="AB39" s="202"/>
      <c r="AC39" s="202"/>
      <c r="AD39" s="202"/>
      <c r="AE39" s="261"/>
    </row>
    <row r="40" spans="1:31" ht="33" customHeight="1" x14ac:dyDescent="0.25">
      <c r="A40" s="382" t="s">
        <v>186</v>
      </c>
      <c r="B40" s="262" t="s">
        <v>626</v>
      </c>
      <c r="C40" s="341" t="s">
        <v>295</v>
      </c>
      <c r="D40" s="333" t="str">
        <f>'User Inputs'!C49</f>
        <v>Yes.</v>
      </c>
      <c r="E40" s="347">
        <f>'User Inputs'!C38</f>
        <v>0.7142857142857143</v>
      </c>
      <c r="F40" s="263"/>
      <c r="G40" s="264"/>
      <c r="H40" s="346">
        <v>0.9</v>
      </c>
      <c r="I40" s="272"/>
      <c r="J40" s="272"/>
      <c r="K40" s="433" t="str">
        <f>C41</f>
        <v>No.</v>
      </c>
      <c r="L40" s="433" t="str">
        <f>C42</f>
        <v>Do not know.</v>
      </c>
      <c r="M40" s="129"/>
      <c r="N40" s="333" t="str">
        <f>IF(AND('Action Results'!C20="N/A",'Action Results'!C21="N/A",'Action Results'!C22="N/A",'Action Results'!C23="N/A"),"No","Yes")</f>
        <v>Yes</v>
      </c>
      <c r="O40" s="262" t="s">
        <v>401</v>
      </c>
      <c r="P40" s="341">
        <v>0.1</v>
      </c>
      <c r="Q40" s="348">
        <f>'Action Results'!E20</f>
        <v>0.8</v>
      </c>
      <c r="R40" s="129"/>
      <c r="S40" s="264"/>
      <c r="T40" s="264"/>
      <c r="U40" s="264"/>
      <c r="V40" s="264"/>
      <c r="W40" s="264"/>
      <c r="Y40" s="342">
        <f>IF(D40=C40,E40,0)</f>
        <v>0.7142857142857143</v>
      </c>
      <c r="Z40" s="372">
        <f>IF(OR(N40="No",Q40="N/A"),"N/A",INDEX('UPS Efficiency'!C6:L6,1,MATCH(Q40,'UPS Efficiency'!C5:L5,0)))</f>
        <v>0.96490000000000009</v>
      </c>
      <c r="AA40" s="269">
        <f>IF(OR(N40="No",Q40="N/A"),0,(Z40-Y40)*100)</f>
        <v>25.061428571428578</v>
      </c>
      <c r="AB40" s="252">
        <f>IF(OR(D40=C41,Z40="N/A"),0,(1/Y40-1/Z40)*'User Inputs'!C25*8760)</f>
        <v>1592669.4994299926</v>
      </c>
      <c r="AC40" s="223">
        <f>AB40*'User Inputs'!$C$32/100</f>
        <v>238900.4249144989</v>
      </c>
      <c r="AD40" s="270">
        <f>'Action Results'!I20</f>
        <v>1000000</v>
      </c>
      <c r="AE40" s="269">
        <f>IF(AC40=0,0,AD40/AC40)</f>
        <v>4.1858443757808059</v>
      </c>
    </row>
    <row r="41" spans="1:31" ht="41.4" x14ac:dyDescent="0.25">
      <c r="A41" s="271"/>
      <c r="B41" s="272"/>
      <c r="C41" s="341" t="s">
        <v>294</v>
      </c>
      <c r="D41" s="264"/>
      <c r="E41" s="264"/>
      <c r="F41" s="273"/>
      <c r="G41" s="274" t="s">
        <v>78</v>
      </c>
      <c r="H41" s="262" t="s">
        <v>342</v>
      </c>
      <c r="I41" s="272"/>
      <c r="J41" s="272"/>
      <c r="K41" s="272"/>
      <c r="L41" s="262" t="s">
        <v>631</v>
      </c>
      <c r="M41" s="129"/>
      <c r="N41" s="272"/>
      <c r="O41" s="272"/>
      <c r="P41" s="341">
        <v>0.2</v>
      </c>
      <c r="Q41" s="264"/>
      <c r="R41" s="129"/>
      <c r="S41" s="264"/>
      <c r="T41" s="264"/>
      <c r="U41" s="264"/>
      <c r="V41" s="264"/>
      <c r="W41" s="264"/>
      <c r="AE41" s="277"/>
    </row>
    <row r="42" spans="1:31" ht="18.75" customHeight="1" x14ac:dyDescent="0.25">
      <c r="A42" s="271"/>
      <c r="B42" s="272"/>
      <c r="C42" s="341" t="s">
        <v>117</v>
      </c>
      <c r="D42" s="278"/>
      <c r="E42" s="278"/>
      <c r="F42" s="279"/>
      <c r="G42" s="274" t="s">
        <v>79</v>
      </c>
      <c r="H42" s="262" t="s">
        <v>341</v>
      </c>
      <c r="I42" s="272"/>
      <c r="J42" s="272"/>
      <c r="K42" s="272"/>
      <c r="L42" s="272"/>
      <c r="M42" s="129"/>
      <c r="N42" s="272"/>
      <c r="O42" s="272"/>
      <c r="P42" s="341">
        <v>0.3</v>
      </c>
      <c r="Q42" s="278"/>
      <c r="R42" s="129"/>
      <c r="S42" s="264"/>
      <c r="T42" s="264"/>
      <c r="U42" s="264"/>
      <c r="V42" s="264"/>
      <c r="W42" s="264"/>
      <c r="AE42" s="277"/>
    </row>
    <row r="43" spans="1:31" ht="15" customHeight="1" x14ac:dyDescent="0.25">
      <c r="A43" s="271"/>
      <c r="B43" s="272"/>
      <c r="C43" s="284"/>
      <c r="D43" s="282"/>
      <c r="E43" s="282"/>
      <c r="F43" s="283"/>
      <c r="G43" s="274" t="s">
        <v>80</v>
      </c>
      <c r="H43" s="262" t="s">
        <v>343</v>
      </c>
      <c r="I43" s="272"/>
      <c r="J43" s="272"/>
      <c r="K43" s="272"/>
      <c r="L43" s="272"/>
      <c r="M43" s="129"/>
      <c r="N43" s="272"/>
      <c r="O43" s="272"/>
      <c r="P43" s="341">
        <v>0.4</v>
      </c>
      <c r="Q43" s="282"/>
      <c r="R43" s="129"/>
      <c r="S43" s="264"/>
      <c r="T43" s="264"/>
      <c r="U43" s="264"/>
      <c r="V43" s="264"/>
      <c r="W43" s="264"/>
      <c r="AE43" s="277"/>
    </row>
    <row r="44" spans="1:31" ht="27.6" x14ac:dyDescent="0.25">
      <c r="A44" s="271"/>
      <c r="B44" s="272"/>
      <c r="C44" s="284"/>
      <c r="D44" s="282"/>
      <c r="E44" s="282"/>
      <c r="F44" s="283"/>
      <c r="G44" s="274" t="s">
        <v>632</v>
      </c>
      <c r="H44" s="262" t="s">
        <v>344</v>
      </c>
      <c r="I44" s="272"/>
      <c r="J44" s="272"/>
      <c r="K44" s="272"/>
      <c r="L44" s="272"/>
      <c r="M44" s="129"/>
      <c r="N44" s="272"/>
      <c r="O44" s="272"/>
      <c r="P44" s="341">
        <v>0.5</v>
      </c>
      <c r="Q44" s="282"/>
      <c r="R44" s="129"/>
      <c r="S44" s="264"/>
      <c r="T44" s="264"/>
      <c r="U44" s="264"/>
      <c r="V44" s="264"/>
      <c r="W44" s="264"/>
      <c r="AE44" s="277"/>
    </row>
    <row r="45" spans="1:31" ht="21" customHeight="1" x14ac:dyDescent="0.25">
      <c r="A45" s="271"/>
      <c r="B45" s="272"/>
      <c r="C45" s="284"/>
      <c r="D45" s="282"/>
      <c r="E45" s="282"/>
      <c r="F45" s="283"/>
      <c r="G45" s="284"/>
      <c r="H45" s="284"/>
      <c r="I45" s="272"/>
      <c r="J45" s="272"/>
      <c r="K45" s="272"/>
      <c r="L45" s="272"/>
      <c r="M45" s="129"/>
      <c r="N45" s="272"/>
      <c r="O45" s="272"/>
      <c r="P45" s="341">
        <v>0.6</v>
      </c>
      <c r="Q45" s="282"/>
      <c r="R45" s="129"/>
      <c r="S45" s="264"/>
      <c r="T45" s="264"/>
      <c r="U45" s="264"/>
      <c r="V45" s="264"/>
      <c r="W45" s="264"/>
      <c r="AE45" s="277"/>
    </row>
    <row r="46" spans="1:31" x14ac:dyDescent="0.25">
      <c r="A46" s="271"/>
      <c r="B46" s="272"/>
      <c r="C46" s="284"/>
      <c r="D46" s="282"/>
      <c r="E46" s="282"/>
      <c r="F46" s="283"/>
      <c r="G46" s="284"/>
      <c r="H46" s="284"/>
      <c r="I46" s="272"/>
      <c r="J46" s="272"/>
      <c r="K46" s="272"/>
      <c r="L46" s="272"/>
      <c r="M46" s="129"/>
      <c r="N46" s="272"/>
      <c r="O46" s="272"/>
      <c r="P46" s="341">
        <v>0.7</v>
      </c>
      <c r="Q46" s="282"/>
      <c r="R46" s="129"/>
      <c r="S46" s="264"/>
      <c r="T46" s="264"/>
      <c r="U46" s="264"/>
      <c r="V46" s="264"/>
      <c r="W46" s="264"/>
      <c r="AE46" s="277"/>
    </row>
    <row r="47" spans="1:31" x14ac:dyDescent="0.25">
      <c r="A47" s="271"/>
      <c r="B47" s="272"/>
      <c r="C47" s="284"/>
      <c r="D47" s="282"/>
      <c r="E47" s="282"/>
      <c r="F47" s="283"/>
      <c r="G47" s="284"/>
      <c r="H47" s="284"/>
      <c r="I47" s="272"/>
      <c r="J47" s="272"/>
      <c r="K47" s="272"/>
      <c r="L47" s="272"/>
      <c r="M47" s="129"/>
      <c r="N47" s="272"/>
      <c r="O47" s="272"/>
      <c r="P47" s="341">
        <v>0.8</v>
      </c>
      <c r="Q47" s="282"/>
      <c r="R47" s="129"/>
      <c r="S47" s="264"/>
      <c r="T47" s="264"/>
      <c r="U47" s="264"/>
      <c r="V47" s="264"/>
      <c r="W47" s="264"/>
      <c r="AE47" s="277"/>
    </row>
    <row r="48" spans="1:31" x14ac:dyDescent="0.25">
      <c r="A48" s="271"/>
      <c r="B48" s="272"/>
      <c r="C48" s="284"/>
      <c r="D48" s="282"/>
      <c r="E48" s="282"/>
      <c r="F48" s="283"/>
      <c r="G48" s="284"/>
      <c r="H48" s="284"/>
      <c r="I48" s="272"/>
      <c r="J48" s="272"/>
      <c r="K48" s="272"/>
      <c r="L48" s="272"/>
      <c r="M48" s="129"/>
      <c r="N48" s="272"/>
      <c r="O48" s="272"/>
      <c r="P48" s="341">
        <v>0.9</v>
      </c>
      <c r="Q48" s="282"/>
      <c r="R48" s="129"/>
      <c r="S48" s="264"/>
      <c r="T48" s="264"/>
      <c r="U48" s="264"/>
      <c r="V48" s="264"/>
      <c r="W48" s="264"/>
      <c r="AE48" s="277"/>
    </row>
    <row r="49" spans="1:31" x14ac:dyDescent="0.25">
      <c r="A49" s="271"/>
      <c r="B49" s="272"/>
      <c r="C49" s="284"/>
      <c r="D49" s="282"/>
      <c r="E49" s="282"/>
      <c r="F49" s="283"/>
      <c r="G49" s="284"/>
      <c r="H49" s="284"/>
      <c r="I49" s="272"/>
      <c r="J49" s="272"/>
      <c r="K49" s="272"/>
      <c r="L49" s="272"/>
      <c r="M49" s="129"/>
      <c r="N49" s="272"/>
      <c r="O49" s="272"/>
      <c r="P49" s="341">
        <v>1</v>
      </c>
      <c r="Q49" s="282"/>
      <c r="R49" s="129"/>
      <c r="S49" s="264"/>
      <c r="T49" s="264"/>
      <c r="U49" s="264"/>
      <c r="V49" s="264"/>
      <c r="W49" s="264"/>
      <c r="AE49" s="277"/>
    </row>
    <row r="50" spans="1:31" x14ac:dyDescent="0.25">
      <c r="A50" s="271"/>
      <c r="B50" s="272"/>
      <c r="C50" s="284"/>
      <c r="D50" s="282"/>
      <c r="E50" s="282"/>
      <c r="F50" s="283"/>
      <c r="G50" s="284"/>
      <c r="H50" s="284"/>
      <c r="I50" s="272"/>
      <c r="J50" s="272"/>
      <c r="K50" s="272"/>
      <c r="L50" s="272"/>
      <c r="M50" s="129"/>
      <c r="N50" s="272"/>
      <c r="O50" s="272"/>
      <c r="P50" s="341" t="s">
        <v>104</v>
      </c>
      <c r="Q50" s="282"/>
      <c r="R50" s="129"/>
      <c r="S50" s="264"/>
      <c r="T50" s="264"/>
      <c r="U50" s="264"/>
      <c r="V50" s="264"/>
      <c r="W50" s="264"/>
      <c r="AE50" s="277"/>
    </row>
    <row r="51" spans="1:31" x14ac:dyDescent="0.25">
      <c r="A51" s="259"/>
      <c r="B51" s="260"/>
      <c r="C51" s="259"/>
      <c r="D51" s="260"/>
      <c r="E51" s="260"/>
      <c r="F51" s="260"/>
      <c r="G51" s="260"/>
      <c r="H51" s="202"/>
      <c r="I51" s="202"/>
      <c r="J51" s="202"/>
      <c r="K51" s="202"/>
      <c r="L51" s="202"/>
      <c r="M51" s="202"/>
      <c r="N51" s="202"/>
      <c r="O51" s="202"/>
      <c r="P51" s="202"/>
      <c r="Q51" s="202"/>
      <c r="R51" s="202"/>
      <c r="S51" s="202"/>
      <c r="T51" s="202"/>
      <c r="U51" s="260"/>
      <c r="V51" s="260"/>
      <c r="W51" s="260"/>
      <c r="X51" s="260"/>
      <c r="Y51" s="260"/>
      <c r="Z51" s="260"/>
      <c r="AA51" s="202"/>
      <c r="AB51" s="202"/>
      <c r="AC51" s="202"/>
      <c r="AD51" s="202"/>
      <c r="AE51" s="261"/>
    </row>
    <row r="52" spans="1:31" ht="33" customHeight="1" x14ac:dyDescent="0.25">
      <c r="A52" s="382" t="s">
        <v>187</v>
      </c>
      <c r="B52" s="262" t="s">
        <v>627</v>
      </c>
      <c r="C52" s="341" t="s">
        <v>295</v>
      </c>
      <c r="D52" s="426" t="str">
        <f>'User Inputs'!C53</f>
        <v>No.</v>
      </c>
      <c r="E52" s="264"/>
      <c r="F52" s="263"/>
      <c r="G52" s="264"/>
      <c r="H52" s="433" t="str">
        <f>C53</f>
        <v>No.</v>
      </c>
      <c r="I52" s="275"/>
      <c r="J52" s="275"/>
      <c r="K52" s="433" t="str">
        <f>C52</f>
        <v>Yes.</v>
      </c>
      <c r="L52" s="433" t="str">
        <f>C55</f>
        <v>Do not know.</v>
      </c>
      <c r="M52" s="129"/>
      <c r="N52" s="426" t="str">
        <f>IF('Action Results'!C24="N/A","No","Yes")</f>
        <v>Yes</v>
      </c>
      <c r="O52" s="262" t="s">
        <v>628</v>
      </c>
      <c r="P52" s="301"/>
      <c r="Q52" s="424" t="str">
        <f>IF(N52="No","N/A",C52)</f>
        <v>Yes.</v>
      </c>
      <c r="R52" s="129"/>
      <c r="S52" s="267"/>
      <c r="T52" s="433" t="str">
        <f>C52</f>
        <v>Yes.</v>
      </c>
      <c r="U52" s="345" t="str">
        <f>C53</f>
        <v>No.</v>
      </c>
      <c r="V52" s="281"/>
      <c r="W52" s="281"/>
      <c r="Y52" s="268" t="str">
        <f>D52</f>
        <v>No.</v>
      </c>
      <c r="Z52" s="437" t="str">
        <f>Q52</f>
        <v>Yes.</v>
      </c>
      <c r="AA52" s="269">
        <f>IF(OR(N52="No",Z52="N/A"),0,INDEX(T53:U54,MATCH(Y52,S53:S54,0),MATCH(Z52,T52:U52,0)))</f>
        <v>3</v>
      </c>
      <c r="AB52" s="252">
        <f>AA52/100*'User Inputs'!$C$39</f>
        <v>30000</v>
      </c>
      <c r="AC52" s="223">
        <f>AB52*'User Inputs'!$C$32/100</f>
        <v>4500</v>
      </c>
      <c r="AD52" s="270">
        <f>'Action Results'!I24</f>
        <v>1000</v>
      </c>
      <c r="AE52" s="269">
        <f>IF(AC52=0,0,AD52/AC52)</f>
        <v>0.22222222222222221</v>
      </c>
    </row>
    <row r="53" spans="1:31" ht="42" customHeight="1" x14ac:dyDescent="0.25">
      <c r="A53" s="271"/>
      <c r="B53" s="272"/>
      <c r="C53" s="341" t="s">
        <v>294</v>
      </c>
      <c r="D53" s="264"/>
      <c r="E53" s="264"/>
      <c r="F53" s="273"/>
      <c r="G53" s="274" t="s">
        <v>78</v>
      </c>
      <c r="H53" s="262" t="s">
        <v>668</v>
      </c>
      <c r="I53" s="275"/>
      <c r="J53" s="275"/>
      <c r="K53" s="272"/>
      <c r="L53" s="262" t="s">
        <v>633</v>
      </c>
      <c r="M53" s="129"/>
      <c r="N53" s="272"/>
      <c r="O53" s="272"/>
      <c r="P53" s="301"/>
      <c r="Q53" s="264"/>
      <c r="R53" s="129"/>
      <c r="S53" s="434" t="str">
        <f>C52</f>
        <v>Yes.</v>
      </c>
      <c r="T53" s="276">
        <v>0</v>
      </c>
      <c r="U53" s="276">
        <v>0</v>
      </c>
      <c r="V53" s="281"/>
      <c r="W53" s="281"/>
      <c r="AE53" s="277"/>
    </row>
    <row r="54" spans="1:31" ht="27.6" x14ac:dyDescent="0.25">
      <c r="A54" s="271"/>
      <c r="B54" s="272"/>
      <c r="C54" s="341" t="s">
        <v>629</v>
      </c>
      <c r="D54" s="278"/>
      <c r="E54" s="278"/>
      <c r="F54" s="279"/>
      <c r="G54" s="432"/>
      <c r="H54" s="275"/>
      <c r="I54" s="275"/>
      <c r="J54" s="275"/>
      <c r="K54" s="272"/>
      <c r="L54" s="272"/>
      <c r="M54" s="129"/>
      <c r="N54" s="272"/>
      <c r="O54" s="272"/>
      <c r="P54" s="301"/>
      <c r="Q54" s="278"/>
      <c r="R54" s="129"/>
      <c r="S54" s="434" t="str">
        <f>C53</f>
        <v>No.</v>
      </c>
      <c r="T54" s="276">
        <v>3</v>
      </c>
      <c r="U54" s="276">
        <v>0</v>
      </c>
      <c r="V54" s="281"/>
      <c r="W54" s="281"/>
      <c r="AE54" s="277"/>
    </row>
    <row r="55" spans="1:31" x14ac:dyDescent="0.25">
      <c r="A55" s="271"/>
      <c r="B55" s="272"/>
      <c r="C55" s="341" t="s">
        <v>117</v>
      </c>
      <c r="D55" s="282"/>
      <c r="E55" s="282"/>
      <c r="F55" s="283"/>
      <c r="G55" s="432"/>
      <c r="H55" s="275"/>
      <c r="I55" s="275"/>
      <c r="J55" s="275"/>
      <c r="K55" s="272"/>
      <c r="L55" s="272"/>
      <c r="M55" s="129"/>
      <c r="N55" s="272"/>
      <c r="O55" s="272"/>
      <c r="P55" s="301"/>
      <c r="Q55" s="282"/>
      <c r="R55" s="129"/>
      <c r="S55" s="281"/>
      <c r="T55" s="281"/>
      <c r="U55" s="281"/>
      <c r="V55" s="281"/>
      <c r="W55" s="281"/>
      <c r="AE55" s="277"/>
    </row>
    <row r="56" spans="1:31" x14ac:dyDescent="0.25">
      <c r="A56" s="271"/>
      <c r="B56" s="272"/>
      <c r="C56" s="284"/>
      <c r="D56" s="282"/>
      <c r="E56" s="282"/>
      <c r="F56" s="283"/>
      <c r="G56" s="284"/>
      <c r="H56" s="284"/>
      <c r="I56" s="275"/>
      <c r="J56" s="275"/>
      <c r="K56" s="272"/>
      <c r="L56" s="272"/>
      <c r="M56" s="129"/>
      <c r="N56" s="272"/>
      <c r="O56" s="272"/>
      <c r="P56" s="301"/>
      <c r="Q56" s="282"/>
      <c r="R56" s="129"/>
      <c r="S56" s="285"/>
      <c r="T56" s="285"/>
      <c r="U56" s="285"/>
      <c r="V56" s="281"/>
      <c r="W56" s="281"/>
      <c r="AE56" s="277"/>
    </row>
    <row r="57" spans="1:31" s="129" customFormat="1" x14ac:dyDescent="0.25">
      <c r="A57" s="259"/>
      <c r="B57" s="260"/>
      <c r="C57" s="259"/>
      <c r="D57" s="260"/>
      <c r="E57" s="260"/>
      <c r="F57" s="260"/>
      <c r="G57" s="260"/>
      <c r="H57" s="202"/>
      <c r="I57" s="202"/>
      <c r="J57" s="202"/>
      <c r="K57" s="202"/>
      <c r="L57" s="202"/>
      <c r="M57" s="202"/>
      <c r="N57" s="202"/>
      <c r="O57" s="260"/>
      <c r="P57" s="259"/>
      <c r="Q57" s="260"/>
      <c r="R57" s="202"/>
      <c r="S57" s="202"/>
      <c r="T57" s="202"/>
      <c r="U57" s="260"/>
      <c r="V57" s="260"/>
      <c r="W57" s="260"/>
      <c r="X57" s="260"/>
      <c r="Y57" s="260"/>
      <c r="Z57" s="260"/>
      <c r="AA57" s="202"/>
      <c r="AB57" s="202"/>
      <c r="AC57" s="202"/>
      <c r="AD57" s="202"/>
      <c r="AE57" s="261"/>
    </row>
    <row r="58" spans="1:31" ht="35.25" customHeight="1" x14ac:dyDescent="0.25">
      <c r="A58" s="382" t="s">
        <v>188</v>
      </c>
      <c r="B58" s="262" t="s">
        <v>402</v>
      </c>
      <c r="C58" s="286" t="s">
        <v>295</v>
      </c>
      <c r="D58" s="138" t="str">
        <f>'User Inputs'!C54</f>
        <v>Yes.</v>
      </c>
      <c r="E58" s="301"/>
      <c r="F58" s="291"/>
      <c r="G58" s="292"/>
      <c r="H58" s="135" t="str">
        <f>C58</f>
        <v>Yes.</v>
      </c>
      <c r="I58" s="287"/>
      <c r="J58" s="266"/>
      <c r="K58" s="265" t="str">
        <f>C59</f>
        <v>No.</v>
      </c>
      <c r="L58" s="135" t="str">
        <f>C60</f>
        <v>Do not know.</v>
      </c>
      <c r="N58" s="333" t="str">
        <f>IF('Action Results'!C25="N/A","No","Yes")</f>
        <v>Yes</v>
      </c>
      <c r="O58" s="262" t="s">
        <v>493</v>
      </c>
      <c r="P58" s="301"/>
      <c r="Q58" s="424" t="str">
        <f>IF(N58="No","N/A",C59)</f>
        <v>No.</v>
      </c>
      <c r="S58" s="267"/>
      <c r="T58" s="369" t="str">
        <f>C58</f>
        <v>Yes.</v>
      </c>
      <c r="U58" s="369" t="str">
        <f>C59</f>
        <v>No.</v>
      </c>
      <c r="V58" s="266"/>
      <c r="W58" s="266"/>
      <c r="Y58" s="268" t="str">
        <f>D58</f>
        <v>Yes.</v>
      </c>
      <c r="Z58" s="437" t="str">
        <f>Q58</f>
        <v>No.</v>
      </c>
      <c r="AA58" s="269">
        <f>IF(OR(N58="No",Z58="N/A"),0,INDEX(T59:U60,MATCH(Y58,S59:S60,0),MATCH(Z58,T58:U58,0)))</f>
        <v>0.5</v>
      </c>
      <c r="AB58" s="252">
        <f>AA58/100*'User Inputs'!$C$39</f>
        <v>5000</v>
      </c>
      <c r="AC58" s="223">
        <f>AB58*'User Inputs'!$C$32/100</f>
        <v>750</v>
      </c>
      <c r="AD58" s="270">
        <f>'Action Results'!I25</f>
        <v>10000</v>
      </c>
      <c r="AE58" s="269">
        <f>IF(AC58=0,0,AD58/AC58)</f>
        <v>13.333333333333334</v>
      </c>
    </row>
    <row r="59" spans="1:31" ht="41.4" x14ac:dyDescent="0.25">
      <c r="A59" s="271"/>
      <c r="B59" s="272"/>
      <c r="C59" s="286" t="s">
        <v>294</v>
      </c>
      <c r="D59" s="301"/>
      <c r="E59" s="301"/>
      <c r="F59" s="299"/>
      <c r="G59" s="274" t="s">
        <v>78</v>
      </c>
      <c r="H59" s="262" t="s">
        <v>348</v>
      </c>
      <c r="I59" s="287"/>
      <c r="J59" s="287"/>
      <c r="K59" s="302"/>
      <c r="L59" s="262" t="s">
        <v>403</v>
      </c>
      <c r="N59" s="272"/>
      <c r="O59" s="272"/>
      <c r="P59" s="301"/>
      <c r="Q59" s="301"/>
      <c r="S59" s="135" t="str">
        <f>C58</f>
        <v>Yes.</v>
      </c>
      <c r="T59" s="276">
        <v>0</v>
      </c>
      <c r="U59" s="276">
        <v>0.5</v>
      </c>
      <c r="V59" s="266"/>
      <c r="W59" s="266"/>
      <c r="AE59" s="277"/>
    </row>
    <row r="60" spans="1:31" x14ac:dyDescent="0.25">
      <c r="A60" s="271"/>
      <c r="B60" s="272"/>
      <c r="C60" s="232" t="s">
        <v>117</v>
      </c>
      <c r="D60" s="301"/>
      <c r="E60" s="301"/>
      <c r="F60" s="299"/>
      <c r="G60" s="288"/>
      <c r="H60" s="289"/>
      <c r="I60" s="290"/>
      <c r="J60" s="290"/>
      <c r="K60" s="272"/>
      <c r="L60" s="272"/>
      <c r="N60" s="272"/>
      <c r="O60" s="272"/>
      <c r="P60" s="301"/>
      <c r="Q60" s="301"/>
      <c r="S60" s="280" t="str">
        <f>C59</f>
        <v>No.</v>
      </c>
      <c r="T60" s="276">
        <v>0</v>
      </c>
      <c r="U60" s="276">
        <v>0</v>
      </c>
      <c r="V60" s="281"/>
      <c r="W60" s="281"/>
      <c r="AE60" s="277"/>
    </row>
    <row r="61" spans="1:31" x14ac:dyDescent="0.25">
      <c r="A61" s="271"/>
      <c r="B61" s="272"/>
      <c r="C61" s="341" t="s">
        <v>385</v>
      </c>
      <c r="D61" s="282"/>
      <c r="E61" s="301"/>
      <c r="F61" s="299"/>
      <c r="G61" s="288"/>
      <c r="H61" s="289"/>
      <c r="I61" s="290"/>
      <c r="J61" s="290"/>
      <c r="K61" s="272"/>
      <c r="L61" s="272"/>
      <c r="N61" s="272"/>
      <c r="O61" s="272"/>
      <c r="P61" s="301"/>
      <c r="Q61" s="282"/>
      <c r="S61" s="285"/>
      <c r="T61" s="285"/>
      <c r="U61" s="285"/>
      <c r="V61" s="281"/>
      <c r="W61" s="281"/>
      <c r="AE61" s="277"/>
    </row>
    <row r="62" spans="1:31" x14ac:dyDescent="0.25">
      <c r="A62" s="271"/>
      <c r="B62" s="272"/>
      <c r="C62" s="284"/>
      <c r="D62" s="282"/>
      <c r="E62" s="301"/>
      <c r="F62" s="299"/>
      <c r="G62" s="288"/>
      <c r="H62" s="289"/>
      <c r="I62" s="290"/>
      <c r="J62" s="290"/>
      <c r="K62" s="272"/>
      <c r="L62" s="272"/>
      <c r="N62" s="272"/>
      <c r="O62" s="272"/>
      <c r="P62" s="301"/>
      <c r="Q62" s="282"/>
      <c r="S62" s="285"/>
      <c r="T62" s="285"/>
      <c r="U62" s="285"/>
      <c r="V62" s="281"/>
      <c r="W62" s="281"/>
      <c r="AE62" s="277"/>
    </row>
    <row r="63" spans="1:31" x14ac:dyDescent="0.25">
      <c r="A63" s="259"/>
      <c r="B63" s="260"/>
      <c r="C63" s="259"/>
      <c r="D63" s="260"/>
      <c r="E63" s="260"/>
      <c r="F63" s="260"/>
      <c r="G63" s="260"/>
      <c r="H63" s="202"/>
      <c r="I63" s="202"/>
      <c r="J63" s="202"/>
      <c r="K63" s="202"/>
      <c r="L63" s="202"/>
      <c r="M63" s="202"/>
      <c r="N63" s="202"/>
      <c r="O63" s="260"/>
      <c r="P63" s="259"/>
      <c r="Q63" s="260"/>
      <c r="R63" s="202"/>
      <c r="S63" s="202"/>
      <c r="T63" s="202"/>
      <c r="U63" s="260"/>
      <c r="V63" s="260"/>
      <c r="W63" s="260"/>
      <c r="X63" s="260"/>
      <c r="Y63" s="260"/>
      <c r="Z63" s="260"/>
      <c r="AA63" s="202"/>
      <c r="AB63" s="202"/>
      <c r="AC63" s="202"/>
      <c r="AD63" s="202"/>
      <c r="AE63" s="261"/>
    </row>
    <row r="64" spans="1:31" ht="31.5" customHeight="1" x14ac:dyDescent="0.25">
      <c r="A64" s="382" t="s">
        <v>189</v>
      </c>
      <c r="B64" s="262" t="s">
        <v>23</v>
      </c>
      <c r="C64" s="286" t="s">
        <v>296</v>
      </c>
      <c r="D64" s="138" t="str">
        <f>'User Inputs'!C55</f>
        <v>UPS.</v>
      </c>
      <c r="E64" s="301"/>
      <c r="F64" s="291"/>
      <c r="G64" s="292"/>
      <c r="H64" s="135" t="str">
        <f>C64</f>
        <v>UPS.</v>
      </c>
      <c r="I64" s="287"/>
      <c r="J64" s="287"/>
      <c r="K64" s="135" t="str">
        <f>C65</f>
        <v>Utility power.</v>
      </c>
      <c r="L64" s="135" t="str">
        <f>C66</f>
        <v>Do not know.</v>
      </c>
      <c r="N64" s="333" t="str">
        <f>IF('Action Results'!C26="N/A","No","Yes")</f>
        <v>Yes</v>
      </c>
      <c r="O64" s="262" t="s">
        <v>494</v>
      </c>
      <c r="P64" s="301"/>
      <c r="Q64" s="424" t="str">
        <f>IF(N64="No","N/A",C65)</f>
        <v>Utility power.</v>
      </c>
      <c r="S64" s="267"/>
      <c r="T64" s="369" t="str">
        <f>C64</f>
        <v>UPS.</v>
      </c>
      <c r="U64" s="369" t="str">
        <f>C65</f>
        <v>Utility power.</v>
      </c>
      <c r="V64" s="266"/>
      <c r="W64" s="266"/>
      <c r="Y64" s="268" t="str">
        <f>D64</f>
        <v>UPS.</v>
      </c>
      <c r="Z64" s="437" t="str">
        <f>Q64</f>
        <v>Utility power.</v>
      </c>
      <c r="AA64" s="269">
        <f>IF(OR(N64="No",Z64="N/A"),0,INDEX(T65:U66,MATCH(Y64,S65:S66,0),MATCH(Z64,T64:U64,0)))</f>
        <v>1</v>
      </c>
      <c r="AB64" s="252">
        <f>AA64/100*'User Inputs'!$C$39</f>
        <v>10000</v>
      </c>
      <c r="AC64" s="223">
        <f>AB64*'User Inputs'!$C$32/100</f>
        <v>1500</v>
      </c>
      <c r="AD64" s="270">
        <f>'Action Results'!I26</f>
        <v>8000</v>
      </c>
      <c r="AE64" s="269">
        <f>IF(AC64=0,0,AD64/AC64)</f>
        <v>5.333333333333333</v>
      </c>
    </row>
    <row r="65" spans="1:31" ht="41.4" x14ac:dyDescent="0.25">
      <c r="A65" s="271"/>
      <c r="B65" s="272"/>
      <c r="C65" s="286" t="s">
        <v>292</v>
      </c>
      <c r="D65" s="301"/>
      <c r="E65" s="301"/>
      <c r="F65" s="299"/>
      <c r="G65" s="274" t="s">
        <v>78</v>
      </c>
      <c r="H65" s="262" t="s">
        <v>352</v>
      </c>
      <c r="I65" s="287"/>
      <c r="J65" s="287"/>
      <c r="K65" s="272"/>
      <c r="L65" s="262" t="s">
        <v>100</v>
      </c>
      <c r="N65" s="272"/>
      <c r="O65" s="272"/>
      <c r="P65" s="301"/>
      <c r="Q65" s="301"/>
      <c r="S65" s="135" t="str">
        <f>C64</f>
        <v>UPS.</v>
      </c>
      <c r="T65" s="276">
        <v>0</v>
      </c>
      <c r="U65" s="276">
        <v>1</v>
      </c>
      <c r="V65" s="266"/>
      <c r="W65" s="266"/>
      <c r="AE65" s="277"/>
    </row>
    <row r="66" spans="1:31" x14ac:dyDescent="0.25">
      <c r="A66" s="271"/>
      <c r="B66" s="272"/>
      <c r="C66" s="232" t="s">
        <v>117</v>
      </c>
      <c r="D66" s="301"/>
      <c r="E66" s="301"/>
      <c r="F66" s="294"/>
      <c r="G66" s="287"/>
      <c r="H66" s="287"/>
      <c r="I66" s="287"/>
      <c r="J66" s="287"/>
      <c r="K66" s="300"/>
      <c r="L66" s="300"/>
      <c r="N66" s="272"/>
      <c r="O66" s="272"/>
      <c r="P66" s="301"/>
      <c r="Q66" s="301"/>
      <c r="S66" s="280" t="str">
        <f>C65</f>
        <v>Utility power.</v>
      </c>
      <c r="T66" s="276">
        <v>0</v>
      </c>
      <c r="U66" s="276">
        <v>0</v>
      </c>
      <c r="V66" s="281"/>
      <c r="W66" s="281"/>
      <c r="AE66" s="277"/>
    </row>
    <row r="67" spans="1:31" x14ac:dyDescent="0.25">
      <c r="A67" s="271"/>
      <c r="B67" s="272"/>
      <c r="C67" s="284"/>
      <c r="D67" s="282"/>
      <c r="E67" s="301"/>
      <c r="F67" s="294"/>
      <c r="G67" s="288"/>
      <c r="H67" s="289"/>
      <c r="I67" s="290"/>
      <c r="J67" s="290"/>
      <c r="K67" s="272"/>
      <c r="L67" s="272"/>
      <c r="N67" s="272"/>
      <c r="O67" s="272"/>
      <c r="P67" s="301"/>
      <c r="Q67" s="282"/>
      <c r="S67" s="285"/>
      <c r="T67" s="285"/>
      <c r="U67" s="285"/>
      <c r="V67" s="281"/>
      <c r="W67" s="281"/>
      <c r="AE67" s="277"/>
    </row>
    <row r="68" spans="1:31" x14ac:dyDescent="0.25">
      <c r="A68" s="271"/>
      <c r="B68" s="272"/>
      <c r="C68" s="284"/>
      <c r="D68" s="282"/>
      <c r="E68" s="301"/>
      <c r="F68" s="294"/>
      <c r="G68" s="288"/>
      <c r="H68" s="289"/>
      <c r="I68" s="290"/>
      <c r="J68" s="290"/>
      <c r="K68" s="272"/>
      <c r="L68" s="272"/>
      <c r="N68" s="272"/>
      <c r="O68" s="272"/>
      <c r="P68" s="301"/>
      <c r="Q68" s="282"/>
      <c r="S68" s="285"/>
      <c r="T68" s="285"/>
      <c r="U68" s="285"/>
      <c r="V68" s="281"/>
      <c r="W68" s="281"/>
      <c r="AE68" s="277"/>
    </row>
    <row r="69" spans="1:31" s="129" customFormat="1" x14ac:dyDescent="0.25">
      <c r="A69" s="259"/>
      <c r="B69" s="260"/>
      <c r="C69" s="259"/>
      <c r="D69" s="260"/>
      <c r="E69" s="260"/>
      <c r="F69" s="260"/>
      <c r="G69" s="260"/>
      <c r="H69" s="202"/>
      <c r="I69" s="202"/>
      <c r="J69" s="202"/>
      <c r="K69" s="202"/>
      <c r="L69" s="202"/>
      <c r="M69" s="202"/>
      <c r="N69" s="202"/>
      <c r="O69" s="260"/>
      <c r="P69" s="259"/>
      <c r="Q69" s="260"/>
      <c r="R69" s="202"/>
      <c r="S69" s="202"/>
      <c r="T69" s="202"/>
      <c r="U69" s="260"/>
      <c r="V69" s="260"/>
      <c r="W69" s="260"/>
      <c r="X69" s="260"/>
      <c r="Y69" s="260"/>
      <c r="Z69" s="260"/>
      <c r="AA69" s="202"/>
      <c r="AB69" s="202"/>
      <c r="AC69" s="202"/>
      <c r="AD69" s="202"/>
      <c r="AE69" s="261"/>
    </row>
    <row r="70" spans="1:31" ht="59.25" customHeight="1" x14ac:dyDescent="0.25">
      <c r="A70" s="382" t="s">
        <v>190</v>
      </c>
      <c r="B70" s="262" t="s">
        <v>391</v>
      </c>
      <c r="C70" s="262" t="s">
        <v>288</v>
      </c>
      <c r="D70" s="316" t="str">
        <f>'User Inputs'!C56</f>
        <v>Temp rise ≥150 C and age &gt;15 years old.</v>
      </c>
      <c r="E70" s="301"/>
      <c r="F70" s="291"/>
      <c r="G70" s="292"/>
      <c r="H70" s="315" t="str">
        <f>C70</f>
        <v>Temp rise ≥150 C and age &gt;15 years old.</v>
      </c>
      <c r="I70" s="315" t="str">
        <f>C71</f>
        <v>Temp rise ≥150 C and age ≤15 years old.</v>
      </c>
      <c r="J70" s="265" t="str">
        <f>C72</f>
        <v>Temp rise &lt; 150 C and age ≥ 15 years old.</v>
      </c>
      <c r="K70" s="315" t="str">
        <f>C73</f>
        <v>Temp rise &lt; 150 C and age &lt; 15 years old.</v>
      </c>
      <c r="L70" s="315" t="str">
        <f>C75</f>
        <v>Do not know.</v>
      </c>
      <c r="M70" s="129"/>
      <c r="N70" s="333" t="str">
        <f>IF('Action Results'!C27="N/A","No","Yes")</f>
        <v>Yes</v>
      </c>
      <c r="O70" s="262" t="s">
        <v>495</v>
      </c>
      <c r="P70" s="301"/>
      <c r="Q70" s="424" t="str">
        <f>IF(N70="No","N/A",C73)</f>
        <v>Temp rise &lt; 150 C and age &lt; 15 years old.</v>
      </c>
      <c r="R70" s="129"/>
      <c r="S70" s="267"/>
      <c r="T70" s="425" t="str">
        <f>C70</f>
        <v>Temp rise ≥150 C and age &gt;15 years old.</v>
      </c>
      <c r="U70" s="425" t="str">
        <f>C71</f>
        <v>Temp rise ≥150 C and age ≤15 years old.</v>
      </c>
      <c r="V70" s="425" t="str">
        <f>C72</f>
        <v>Temp rise &lt; 150 C and age ≥ 15 years old.</v>
      </c>
      <c r="W70" s="425" t="str">
        <f>C73</f>
        <v>Temp rise &lt; 150 C and age &lt; 15 years old.</v>
      </c>
      <c r="Y70" s="268" t="str">
        <f>D70</f>
        <v>Temp rise ≥150 C and age &gt;15 years old.</v>
      </c>
      <c r="Z70" s="372" t="str">
        <f>Q70</f>
        <v>Temp rise &lt; 150 C and age &lt; 15 years old.</v>
      </c>
      <c r="AA70" s="269">
        <f>IF(OR(N70="No",Z70="N/A"),0,INDEX(T71:W74,MATCH(Y70,S71:S74,0),MATCH(Z70,T70:W70,0)))</f>
        <v>1</v>
      </c>
      <c r="AB70" s="252">
        <f>AA70/100*'User Inputs'!$C$39</f>
        <v>10000</v>
      </c>
      <c r="AC70" s="223">
        <f>AB70*'User Inputs'!$C$32/100</f>
        <v>1500</v>
      </c>
      <c r="AD70" s="270">
        <f>'Action Results'!I27</f>
        <v>50000</v>
      </c>
      <c r="AE70" s="269">
        <f>IF(AC70=0,0,AD70/AC70)</f>
        <v>33.333333333333336</v>
      </c>
    </row>
    <row r="71" spans="1:31" ht="58.5" customHeight="1" x14ac:dyDescent="0.25">
      <c r="A71" s="271"/>
      <c r="B71" s="272"/>
      <c r="C71" s="262" t="s">
        <v>289</v>
      </c>
      <c r="D71" s="293"/>
      <c r="E71" s="301"/>
      <c r="F71" s="294"/>
      <c r="G71" s="274" t="s">
        <v>78</v>
      </c>
      <c r="H71" s="262" t="s">
        <v>345</v>
      </c>
      <c r="I71" s="142" t="str">
        <f>H71</f>
        <v>Use High Efficiency MV and LV Transformers.</v>
      </c>
      <c r="J71" s="142" t="str">
        <f>H71</f>
        <v>Use High Efficiency MV and LV Transformers.</v>
      </c>
      <c r="K71" s="272"/>
      <c r="L71" s="262" t="s">
        <v>392</v>
      </c>
      <c r="M71" s="129"/>
      <c r="N71" s="272"/>
      <c r="O71" s="272"/>
      <c r="P71" s="301"/>
      <c r="Q71" s="293"/>
      <c r="R71" s="129"/>
      <c r="S71" s="315" t="str">
        <f>C70</f>
        <v>Temp rise ≥150 C and age &gt;15 years old.</v>
      </c>
      <c r="T71" s="276">
        <v>0</v>
      </c>
      <c r="U71" s="276">
        <v>0</v>
      </c>
      <c r="V71" s="276">
        <v>0</v>
      </c>
      <c r="W71" s="276">
        <v>1</v>
      </c>
      <c r="AE71" s="277"/>
    </row>
    <row r="72" spans="1:31" ht="51" customHeight="1" x14ac:dyDescent="0.25">
      <c r="A72" s="271"/>
      <c r="B72" s="272"/>
      <c r="C72" s="262" t="s">
        <v>290</v>
      </c>
      <c r="D72" s="293"/>
      <c r="E72" s="301"/>
      <c r="F72" s="294"/>
      <c r="G72" s="288"/>
      <c r="H72" s="289"/>
      <c r="I72" s="290"/>
      <c r="J72" s="290"/>
      <c r="K72" s="272"/>
      <c r="L72" s="272"/>
      <c r="M72" s="129"/>
      <c r="N72" s="272"/>
      <c r="O72" s="272"/>
      <c r="P72" s="301"/>
      <c r="Q72" s="293"/>
      <c r="R72" s="129"/>
      <c r="S72" s="315" t="str">
        <f>C71</f>
        <v>Temp rise ≥150 C and age ≤15 years old.</v>
      </c>
      <c r="T72" s="276">
        <v>0</v>
      </c>
      <c r="U72" s="276">
        <v>0</v>
      </c>
      <c r="V72" s="276">
        <v>0</v>
      </c>
      <c r="W72" s="276">
        <v>1</v>
      </c>
      <c r="AE72" s="277"/>
    </row>
    <row r="73" spans="1:31" ht="51.75" customHeight="1" x14ac:dyDescent="0.25">
      <c r="A73" s="271"/>
      <c r="B73" s="272"/>
      <c r="C73" s="262" t="s">
        <v>291</v>
      </c>
      <c r="D73" s="293"/>
      <c r="E73" s="301"/>
      <c r="F73" s="294"/>
      <c r="G73" s="288"/>
      <c r="H73" s="289"/>
      <c r="I73" s="290"/>
      <c r="J73" s="290"/>
      <c r="K73" s="272"/>
      <c r="L73" s="272"/>
      <c r="M73" s="129"/>
      <c r="N73" s="272"/>
      <c r="O73" s="272"/>
      <c r="P73" s="301"/>
      <c r="Q73" s="293"/>
      <c r="R73" s="129"/>
      <c r="S73" s="315" t="str">
        <f>C72</f>
        <v>Temp rise &lt; 150 C and age ≥ 15 years old.</v>
      </c>
      <c r="T73" s="276">
        <v>0</v>
      </c>
      <c r="U73" s="276">
        <v>0</v>
      </c>
      <c r="V73" s="276">
        <v>0</v>
      </c>
      <c r="W73" s="276">
        <v>1</v>
      </c>
      <c r="AE73" s="277"/>
    </row>
    <row r="74" spans="1:31" ht="45.75" customHeight="1" x14ac:dyDescent="0.25">
      <c r="A74" s="271"/>
      <c r="B74" s="272"/>
      <c r="C74" s="317" t="s">
        <v>390</v>
      </c>
      <c r="D74" s="293"/>
      <c r="E74" s="301"/>
      <c r="F74" s="294"/>
      <c r="G74" s="288"/>
      <c r="H74" s="289"/>
      <c r="I74" s="290"/>
      <c r="J74" s="290"/>
      <c r="K74" s="272"/>
      <c r="L74" s="272"/>
      <c r="M74" s="129"/>
      <c r="N74" s="272"/>
      <c r="O74" s="272"/>
      <c r="P74" s="301"/>
      <c r="Q74" s="293"/>
      <c r="R74" s="129"/>
      <c r="S74" s="315" t="str">
        <f>C73</f>
        <v>Temp rise &lt; 150 C and age &lt; 15 years old.</v>
      </c>
      <c r="T74" s="276">
        <v>0</v>
      </c>
      <c r="U74" s="276">
        <v>0</v>
      </c>
      <c r="V74" s="276">
        <v>0</v>
      </c>
      <c r="W74" s="276">
        <v>0</v>
      </c>
      <c r="AE74" s="277"/>
    </row>
    <row r="75" spans="1:31" ht="27" customHeight="1" x14ac:dyDescent="0.25">
      <c r="A75" s="271"/>
      <c r="B75" s="272"/>
      <c r="C75" s="335" t="s">
        <v>117</v>
      </c>
      <c r="D75" s="293"/>
      <c r="E75" s="301"/>
      <c r="F75" s="294"/>
      <c r="G75" s="288"/>
      <c r="H75" s="289"/>
      <c r="I75" s="290"/>
      <c r="J75" s="290"/>
      <c r="K75" s="272"/>
      <c r="L75" s="272"/>
      <c r="M75" s="129"/>
      <c r="N75" s="272"/>
      <c r="O75" s="272"/>
      <c r="P75" s="301"/>
      <c r="Q75" s="293"/>
      <c r="S75" s="285"/>
      <c r="T75" s="285"/>
      <c r="U75" s="285"/>
      <c r="V75" s="281"/>
      <c r="W75" s="281"/>
      <c r="AE75" s="277"/>
    </row>
    <row r="76" spans="1:31" s="129" customFormat="1" x14ac:dyDescent="0.25">
      <c r="A76" s="259"/>
      <c r="B76" s="260"/>
      <c r="C76" s="259"/>
      <c r="D76" s="260"/>
      <c r="E76" s="260"/>
      <c r="F76" s="260"/>
      <c r="G76" s="260"/>
      <c r="H76" s="202"/>
      <c r="I76" s="202"/>
      <c r="J76" s="202"/>
      <c r="K76" s="202"/>
      <c r="L76" s="202"/>
      <c r="M76" s="202"/>
      <c r="N76" s="202"/>
      <c r="O76" s="260"/>
      <c r="P76" s="259"/>
      <c r="Q76" s="260"/>
      <c r="R76" s="202"/>
      <c r="S76" s="202"/>
      <c r="T76" s="202"/>
      <c r="U76" s="260"/>
      <c r="V76" s="260"/>
      <c r="W76" s="260"/>
      <c r="X76" s="260"/>
      <c r="Y76" s="260"/>
      <c r="Z76" s="260"/>
      <c r="AA76" s="202"/>
      <c r="AB76" s="202"/>
      <c r="AC76" s="202"/>
      <c r="AD76" s="202"/>
      <c r="AE76" s="261"/>
    </row>
    <row r="77" spans="1:31" ht="49.5" customHeight="1" x14ac:dyDescent="0.25">
      <c r="A77" s="382" t="s">
        <v>354</v>
      </c>
      <c r="B77" s="262" t="s">
        <v>393</v>
      </c>
      <c r="C77" s="232" t="s">
        <v>14</v>
      </c>
      <c r="D77" s="138" t="str">
        <f>'User Inputs'!C57</f>
        <v>&lt;25%</v>
      </c>
      <c r="E77" s="301"/>
      <c r="F77" s="291"/>
      <c r="G77" s="292"/>
      <c r="H77" s="135" t="str">
        <f>C77</f>
        <v>&lt;25%</v>
      </c>
      <c r="I77" s="265" t="str">
        <f>C78</f>
        <v>≥25-50%</v>
      </c>
      <c r="J77" s="287"/>
      <c r="K77" s="135" t="str">
        <f>C79</f>
        <v>&gt;50%</v>
      </c>
      <c r="L77" s="295" t="str">
        <f>C80</f>
        <v>Do not know.</v>
      </c>
      <c r="M77" s="129"/>
      <c r="N77" s="333" t="str">
        <f>IF('Action Results'!C28="N/A","No","Yes")</f>
        <v>Yes</v>
      </c>
      <c r="O77" s="262" t="s">
        <v>404</v>
      </c>
      <c r="P77" s="324" t="str">
        <f>C77</f>
        <v>&lt;25%</v>
      </c>
      <c r="Q77" s="333" t="str">
        <f>'Action Results'!E28</f>
        <v>&gt;50%</v>
      </c>
      <c r="R77" s="129"/>
      <c r="S77" s="267"/>
      <c r="T77" s="327" t="str">
        <f>P77</f>
        <v>&lt;25%</v>
      </c>
      <c r="U77" s="327" t="str">
        <f>P78</f>
        <v>≥25-50%</v>
      </c>
      <c r="V77" s="327" t="str">
        <f>P79</f>
        <v>&gt;50%</v>
      </c>
      <c r="W77" s="266"/>
      <c r="X77" s="129"/>
      <c r="Y77" s="268" t="str">
        <f>D77</f>
        <v>&lt;25%</v>
      </c>
      <c r="Z77" s="372" t="str">
        <f>Q77</f>
        <v>&gt;50%</v>
      </c>
      <c r="AA77" s="269">
        <f>IF(OR(N77="No",Z77="N/A"),0,INDEX(T78:V80,MATCH(Y77,S78:S80,0),MATCH(Z77,T77:V77,0)))</f>
        <v>5</v>
      </c>
      <c r="AB77" s="252">
        <f>AA77/100*'User Inputs'!$C$39</f>
        <v>50000</v>
      </c>
      <c r="AC77" s="223">
        <f>AB77*'User Inputs'!$C$32/100</f>
        <v>7500</v>
      </c>
      <c r="AD77" s="270">
        <f>'Action Results'!I28</f>
        <v>7500</v>
      </c>
      <c r="AE77" s="269">
        <f>IF(AC77=0,0,AD77/AC77)</f>
        <v>1</v>
      </c>
    </row>
    <row r="78" spans="1:31" ht="62.25" customHeight="1" x14ac:dyDescent="0.25">
      <c r="A78" s="271"/>
      <c r="B78" s="272"/>
      <c r="C78" s="296" t="s">
        <v>16</v>
      </c>
      <c r="D78" s="292"/>
      <c r="E78" s="301"/>
      <c r="F78" s="297"/>
      <c r="G78" s="274" t="s">
        <v>78</v>
      </c>
      <c r="H78" s="262" t="s">
        <v>394</v>
      </c>
      <c r="I78" s="142" t="str">
        <f>H78</f>
        <v>Consolidate Transformer Loads</v>
      </c>
      <c r="J78" s="287"/>
      <c r="K78" s="272"/>
      <c r="L78" s="262" t="s">
        <v>395</v>
      </c>
      <c r="M78" s="129"/>
      <c r="N78" s="272"/>
      <c r="O78" s="272"/>
      <c r="P78" s="324" t="str">
        <f>C78</f>
        <v>≥25-50%</v>
      </c>
      <c r="Q78" s="292"/>
      <c r="R78" s="129"/>
      <c r="S78" s="135" t="str">
        <f>C77</f>
        <v>&lt;25%</v>
      </c>
      <c r="T78" s="276">
        <v>0</v>
      </c>
      <c r="U78" s="276">
        <v>1</v>
      </c>
      <c r="V78" s="276">
        <v>5</v>
      </c>
      <c r="W78" s="266"/>
      <c r="X78" s="129"/>
      <c r="Y78" s="129"/>
      <c r="Z78" s="129"/>
      <c r="AE78" s="277"/>
    </row>
    <row r="79" spans="1:31" ht="18" customHeight="1" x14ac:dyDescent="0.25">
      <c r="A79" s="271"/>
      <c r="B79" s="272"/>
      <c r="C79" s="232" t="s">
        <v>15</v>
      </c>
      <c r="D79" s="298"/>
      <c r="E79" s="301"/>
      <c r="F79" s="299"/>
      <c r="G79" s="287"/>
      <c r="H79" s="287"/>
      <c r="I79" s="287"/>
      <c r="J79" s="287"/>
      <c r="K79" s="300"/>
      <c r="L79" s="300"/>
      <c r="N79" s="272"/>
      <c r="O79" s="272"/>
      <c r="P79" s="324" t="str">
        <f>C79</f>
        <v>&gt;50%</v>
      </c>
      <c r="Q79" s="298"/>
      <c r="S79" s="280" t="str">
        <f>C78</f>
        <v>≥25-50%</v>
      </c>
      <c r="T79" s="276">
        <v>0</v>
      </c>
      <c r="U79" s="276">
        <v>0</v>
      </c>
      <c r="V79" s="276">
        <v>1</v>
      </c>
      <c r="W79" s="281"/>
      <c r="AE79" s="277"/>
    </row>
    <row r="80" spans="1:31" ht="20.25" customHeight="1" x14ac:dyDescent="0.25">
      <c r="A80" s="271"/>
      <c r="B80" s="272"/>
      <c r="C80" s="232" t="s">
        <v>117</v>
      </c>
      <c r="D80" s="298"/>
      <c r="E80" s="301"/>
      <c r="F80" s="299"/>
      <c r="G80" s="288"/>
      <c r="H80" s="289"/>
      <c r="I80" s="290"/>
      <c r="J80" s="290"/>
      <c r="K80" s="272"/>
      <c r="L80" s="272"/>
      <c r="N80" s="272"/>
      <c r="O80" s="272"/>
      <c r="P80" s="335" t="s">
        <v>104</v>
      </c>
      <c r="Q80" s="298"/>
      <c r="S80" s="280" t="str">
        <f>C79</f>
        <v>&gt;50%</v>
      </c>
      <c r="T80" s="276">
        <v>0</v>
      </c>
      <c r="U80" s="276">
        <v>0</v>
      </c>
      <c r="V80" s="276">
        <v>0</v>
      </c>
      <c r="W80" s="281"/>
      <c r="AE80" s="277"/>
    </row>
    <row r="81" spans="1:31" x14ac:dyDescent="0.25">
      <c r="A81" s="271"/>
      <c r="B81" s="272"/>
      <c r="C81" s="284"/>
      <c r="D81" s="282"/>
      <c r="E81" s="301"/>
      <c r="F81" s="299"/>
      <c r="G81" s="288"/>
      <c r="H81" s="289"/>
      <c r="I81" s="290"/>
      <c r="J81" s="290"/>
      <c r="K81" s="272"/>
      <c r="L81" s="272"/>
      <c r="N81" s="272"/>
      <c r="O81" s="272"/>
      <c r="P81" s="284"/>
      <c r="Q81" s="282"/>
      <c r="S81" s="285"/>
      <c r="T81" s="285"/>
      <c r="U81" s="285"/>
      <c r="V81" s="281"/>
      <c r="W81" s="281"/>
      <c r="AE81" s="277"/>
    </row>
    <row r="82" spans="1:31" s="129" customFormat="1" x14ac:dyDescent="0.25">
      <c r="A82" s="259"/>
      <c r="B82" s="260"/>
      <c r="C82" s="259"/>
      <c r="D82" s="260"/>
      <c r="E82" s="260"/>
      <c r="F82" s="260"/>
      <c r="G82" s="260"/>
      <c r="H82" s="202"/>
      <c r="I82" s="202"/>
      <c r="J82" s="202"/>
      <c r="K82" s="202"/>
      <c r="L82" s="202"/>
      <c r="M82" s="202"/>
      <c r="N82" s="202"/>
      <c r="O82" s="260"/>
      <c r="P82" s="259"/>
      <c r="Q82" s="260"/>
      <c r="R82" s="202"/>
      <c r="S82" s="202"/>
      <c r="T82" s="202"/>
      <c r="U82" s="260"/>
      <c r="V82" s="260"/>
      <c r="W82" s="260"/>
      <c r="X82" s="260"/>
      <c r="Y82" s="260"/>
      <c r="Z82" s="260"/>
      <c r="AA82" s="202"/>
      <c r="AB82" s="202"/>
      <c r="AC82" s="202"/>
      <c r="AD82" s="202"/>
      <c r="AE82" s="261"/>
    </row>
    <row r="83" spans="1:31" ht="33" customHeight="1" x14ac:dyDescent="0.25">
      <c r="A83" s="382" t="s">
        <v>191</v>
      </c>
      <c r="B83" s="262" t="s">
        <v>22</v>
      </c>
      <c r="C83" s="286" t="s">
        <v>2</v>
      </c>
      <c r="D83" s="138" t="str">
        <f>'User Inputs'!C58</f>
        <v>&lt;0.9</v>
      </c>
      <c r="E83" s="291"/>
      <c r="F83" s="291"/>
      <c r="G83" s="292"/>
      <c r="H83" s="135" t="str">
        <f>C83</f>
        <v>&lt;0.9</v>
      </c>
      <c r="I83" s="287"/>
      <c r="J83" s="266"/>
      <c r="K83" s="265" t="str">
        <f>C84</f>
        <v>≥0.9</v>
      </c>
      <c r="L83" s="135" t="str">
        <f>C85</f>
        <v>Do not know.</v>
      </c>
      <c r="N83" s="333" t="str">
        <f>IF('Action Results'!C29="N/A","No","Yes")</f>
        <v>Yes</v>
      </c>
      <c r="O83" s="262" t="s">
        <v>496</v>
      </c>
      <c r="P83" s="301"/>
      <c r="Q83" s="424" t="str">
        <f>IF(N83="No","N/A",C84)</f>
        <v>≥0.9</v>
      </c>
      <c r="S83" s="267"/>
      <c r="T83" s="369" t="str">
        <f>C83</f>
        <v>&lt;0.9</v>
      </c>
      <c r="U83" s="369" t="str">
        <f>C84</f>
        <v>≥0.9</v>
      </c>
      <c r="V83" s="266"/>
      <c r="W83" s="266"/>
      <c r="Y83" s="268" t="str">
        <f>D83</f>
        <v>&lt;0.9</v>
      </c>
      <c r="Z83" s="437" t="str">
        <f>Q83</f>
        <v>≥0.9</v>
      </c>
      <c r="AA83" s="269">
        <f>IF(OR(N83="No",Z83="N/A"),0,INDEX(T84:U85,MATCH(Y83,S84:S85,0),MATCH(Z83,T83:U83,0)))</f>
        <v>2</v>
      </c>
      <c r="AB83" s="252">
        <f>AA83/100*'User Inputs'!$C$39</f>
        <v>20000</v>
      </c>
      <c r="AC83" s="223">
        <f>AB83*'User Inputs'!$C$32/100</f>
        <v>3000</v>
      </c>
      <c r="AD83" s="270">
        <f>'Action Results'!I29</f>
        <v>500000</v>
      </c>
      <c r="AE83" s="269">
        <f>IF(AC83=0,0,AD83/AC83)</f>
        <v>166.66666666666666</v>
      </c>
    </row>
    <row r="84" spans="1:31" ht="55.2" x14ac:dyDescent="0.25">
      <c r="A84" s="271"/>
      <c r="B84" s="272"/>
      <c r="C84" s="286" t="s">
        <v>4</v>
      </c>
      <c r="D84" s="301"/>
      <c r="E84" s="299"/>
      <c r="F84" s="299"/>
      <c r="G84" s="274" t="s">
        <v>78</v>
      </c>
      <c r="H84" s="262" t="s">
        <v>349</v>
      </c>
      <c r="I84" s="287"/>
      <c r="J84" s="287"/>
      <c r="K84" s="302"/>
      <c r="L84" s="262" t="s">
        <v>396</v>
      </c>
      <c r="N84" s="272"/>
      <c r="O84" s="272"/>
      <c r="P84" s="301"/>
      <c r="Q84" s="301"/>
      <c r="S84" s="135" t="str">
        <f>C83</f>
        <v>&lt;0.9</v>
      </c>
      <c r="T84" s="276">
        <v>0</v>
      </c>
      <c r="U84" s="276">
        <v>2</v>
      </c>
      <c r="V84" s="266"/>
      <c r="W84" s="266"/>
      <c r="AE84" s="277"/>
    </row>
    <row r="85" spans="1:31" x14ac:dyDescent="0.25">
      <c r="A85" s="271"/>
      <c r="B85" s="272"/>
      <c r="C85" s="232" t="s">
        <v>117</v>
      </c>
      <c r="D85" s="301"/>
      <c r="E85" s="299"/>
      <c r="F85" s="299"/>
      <c r="G85" s="288"/>
      <c r="H85" s="289"/>
      <c r="I85" s="290"/>
      <c r="J85" s="290"/>
      <c r="K85" s="272"/>
      <c r="L85" s="272"/>
      <c r="N85" s="272"/>
      <c r="O85" s="272"/>
      <c r="P85" s="301"/>
      <c r="Q85" s="301"/>
      <c r="S85" s="280" t="str">
        <f>C84</f>
        <v>≥0.9</v>
      </c>
      <c r="T85" s="276">
        <v>0</v>
      </c>
      <c r="U85" s="276">
        <v>0</v>
      </c>
      <c r="V85" s="281"/>
      <c r="W85" s="281"/>
      <c r="AE85" s="277"/>
    </row>
    <row r="86" spans="1:31" x14ac:dyDescent="0.25">
      <c r="A86" s="271"/>
      <c r="B86" s="272"/>
      <c r="C86" s="284"/>
      <c r="D86" s="282"/>
      <c r="E86" s="299"/>
      <c r="F86" s="299"/>
      <c r="G86" s="288"/>
      <c r="H86" s="289"/>
      <c r="I86" s="290"/>
      <c r="J86" s="290"/>
      <c r="K86" s="272"/>
      <c r="L86" s="272"/>
      <c r="N86" s="272"/>
      <c r="O86" s="272"/>
      <c r="P86" s="301"/>
      <c r="Q86" s="282"/>
      <c r="S86" s="285"/>
      <c r="T86" s="285"/>
      <c r="U86" s="285"/>
      <c r="V86" s="281"/>
      <c r="W86" s="281"/>
      <c r="AE86" s="277"/>
    </row>
    <row r="87" spans="1:31" x14ac:dyDescent="0.25">
      <c r="A87" s="271"/>
      <c r="B87" s="272"/>
      <c r="C87" s="284"/>
      <c r="D87" s="282"/>
      <c r="E87" s="299"/>
      <c r="F87" s="299"/>
      <c r="G87" s="288"/>
      <c r="H87" s="289"/>
      <c r="I87" s="290"/>
      <c r="J87" s="290"/>
      <c r="K87" s="272"/>
      <c r="L87" s="272"/>
      <c r="N87" s="272"/>
      <c r="O87" s="272"/>
      <c r="P87" s="301"/>
      <c r="Q87" s="282"/>
      <c r="S87" s="285"/>
      <c r="T87" s="285"/>
      <c r="U87" s="285"/>
      <c r="V87" s="281"/>
      <c r="W87" s="281"/>
      <c r="AE87" s="277"/>
    </row>
    <row r="88" spans="1:31" s="129" customFormat="1" x14ac:dyDescent="0.25">
      <c r="A88" s="259"/>
      <c r="B88" s="260"/>
      <c r="C88" s="259"/>
      <c r="D88" s="260"/>
      <c r="E88" s="260"/>
      <c r="F88" s="260"/>
      <c r="G88" s="260"/>
      <c r="H88" s="202"/>
      <c r="I88" s="202"/>
      <c r="J88" s="202"/>
      <c r="K88" s="202"/>
      <c r="L88" s="202"/>
      <c r="M88" s="202"/>
      <c r="N88" s="202"/>
      <c r="O88" s="260"/>
      <c r="P88" s="259"/>
      <c r="Q88" s="260"/>
      <c r="R88" s="202"/>
      <c r="S88" s="202"/>
      <c r="T88" s="202"/>
      <c r="U88" s="260"/>
      <c r="V88" s="260"/>
      <c r="W88" s="260"/>
      <c r="X88" s="260"/>
      <c r="Y88" s="260"/>
      <c r="Z88" s="260"/>
      <c r="AA88" s="202"/>
      <c r="AB88" s="202"/>
      <c r="AC88" s="202"/>
      <c r="AD88" s="202"/>
      <c r="AE88" s="261"/>
    </row>
    <row r="89" spans="1:31" s="129" customFormat="1" ht="37.5" customHeight="1" x14ac:dyDescent="0.25">
      <c r="A89" s="382" t="s">
        <v>192</v>
      </c>
      <c r="B89" s="262" t="s">
        <v>405</v>
      </c>
      <c r="C89" s="286" t="s">
        <v>298</v>
      </c>
      <c r="D89" s="138" t="str">
        <f>'User Inputs'!C59</f>
        <v>Alternating current (AC).</v>
      </c>
      <c r="E89" s="301"/>
      <c r="F89" s="291"/>
      <c r="G89" s="292"/>
      <c r="H89" s="135" t="str">
        <f>C89</f>
        <v>Alternating current (AC).</v>
      </c>
      <c r="I89" s="287"/>
      <c r="J89" s="266"/>
      <c r="K89" s="265" t="str">
        <f>C90</f>
        <v>Direct current (DC).</v>
      </c>
      <c r="L89" s="135" t="str">
        <f>C91</f>
        <v>Do not know.</v>
      </c>
      <c r="M89" s="128"/>
      <c r="N89" s="333" t="str">
        <f>IF('Action Results'!C30="N/A","No","Yes")</f>
        <v>Yes</v>
      </c>
      <c r="O89" s="262" t="s">
        <v>497</v>
      </c>
      <c r="P89" s="301"/>
      <c r="Q89" s="424" t="str">
        <f>IF(N89="No","N/A",C90)</f>
        <v>Direct current (DC).</v>
      </c>
      <c r="R89" s="128"/>
      <c r="S89" s="267"/>
      <c r="T89" s="369" t="str">
        <f>C89</f>
        <v>Alternating current (AC).</v>
      </c>
      <c r="U89" s="369" t="str">
        <f>C90</f>
        <v>Direct current (DC).</v>
      </c>
      <c r="V89" s="266"/>
      <c r="W89" s="266"/>
      <c r="X89" s="128"/>
      <c r="Y89" s="268" t="str">
        <f>D89</f>
        <v>Alternating current (AC).</v>
      </c>
      <c r="Z89" s="372" t="str">
        <f>Q89</f>
        <v>Direct current (DC).</v>
      </c>
      <c r="AA89" s="269">
        <f>IF(OR(N89="No",Z89="N/A"),0,INDEX(T90:U91,MATCH(Y89,S90:S91,0),MATCH(Z89,T89:U89,0)))</f>
        <v>10</v>
      </c>
      <c r="AB89" s="252">
        <f>AA89/100*'User Inputs'!$C$39</f>
        <v>100000</v>
      </c>
      <c r="AC89" s="223">
        <f>AB89*'User Inputs'!$C$32/100</f>
        <v>15000</v>
      </c>
      <c r="AD89" s="270">
        <f>'Action Results'!I30</f>
        <v>1000000</v>
      </c>
      <c r="AE89" s="269">
        <f>IF(AC89=0,0,AD89/AC89)</f>
        <v>66.666666666666671</v>
      </c>
    </row>
    <row r="90" spans="1:31" s="129" customFormat="1" ht="41.4" x14ac:dyDescent="0.25">
      <c r="A90" s="271"/>
      <c r="B90" s="272"/>
      <c r="C90" s="286" t="s">
        <v>297</v>
      </c>
      <c r="D90" s="301"/>
      <c r="E90" s="301"/>
      <c r="F90" s="299"/>
      <c r="G90" s="274" t="s">
        <v>78</v>
      </c>
      <c r="H90" s="262" t="s">
        <v>355</v>
      </c>
      <c r="I90" s="287"/>
      <c r="J90" s="287"/>
      <c r="K90" s="302"/>
      <c r="L90" s="262" t="s">
        <v>299</v>
      </c>
      <c r="M90" s="128"/>
      <c r="N90" s="272"/>
      <c r="O90" s="272"/>
      <c r="P90" s="301"/>
      <c r="Q90" s="301"/>
      <c r="R90" s="128"/>
      <c r="S90" s="135" t="str">
        <f>C89</f>
        <v>Alternating current (AC).</v>
      </c>
      <c r="T90" s="276">
        <v>0</v>
      </c>
      <c r="U90" s="276">
        <v>10</v>
      </c>
      <c r="V90" s="266"/>
      <c r="W90" s="266"/>
      <c r="X90" s="128"/>
      <c r="Y90" s="128"/>
      <c r="Z90" s="128"/>
      <c r="AA90" s="128"/>
      <c r="AB90" s="128"/>
      <c r="AC90" s="128"/>
      <c r="AD90" s="128"/>
      <c r="AE90" s="277"/>
    </row>
    <row r="91" spans="1:31" s="129" customFormat="1" ht="29.25" customHeight="1" x14ac:dyDescent="0.25">
      <c r="A91" s="271"/>
      <c r="B91" s="272"/>
      <c r="C91" s="232" t="s">
        <v>117</v>
      </c>
      <c r="D91" s="301"/>
      <c r="E91" s="301"/>
      <c r="F91" s="299"/>
      <c r="G91" s="288"/>
      <c r="H91" s="289"/>
      <c r="I91" s="290"/>
      <c r="J91" s="290"/>
      <c r="K91" s="272"/>
      <c r="L91" s="272"/>
      <c r="M91" s="128"/>
      <c r="N91" s="272"/>
      <c r="O91" s="272"/>
      <c r="P91" s="301"/>
      <c r="Q91" s="301"/>
      <c r="R91" s="128"/>
      <c r="S91" s="318" t="str">
        <f>C90</f>
        <v>Direct current (DC).</v>
      </c>
      <c r="T91" s="276">
        <v>0</v>
      </c>
      <c r="U91" s="276">
        <v>0</v>
      </c>
      <c r="V91" s="281"/>
      <c r="W91" s="281"/>
      <c r="X91" s="128"/>
      <c r="Y91" s="128"/>
      <c r="Z91" s="128"/>
      <c r="AA91" s="128"/>
      <c r="AB91" s="128"/>
      <c r="AC91" s="128"/>
      <c r="AD91" s="128"/>
      <c r="AE91" s="277"/>
    </row>
    <row r="92" spans="1:31" s="129" customFormat="1" x14ac:dyDescent="0.25">
      <c r="A92" s="271"/>
      <c r="B92" s="272"/>
      <c r="C92" s="284"/>
      <c r="D92" s="282"/>
      <c r="E92" s="301"/>
      <c r="F92" s="299"/>
      <c r="G92" s="288"/>
      <c r="H92" s="289"/>
      <c r="I92" s="290"/>
      <c r="J92" s="290"/>
      <c r="K92" s="272"/>
      <c r="L92" s="272"/>
      <c r="M92" s="128"/>
      <c r="N92" s="272"/>
      <c r="O92" s="272"/>
      <c r="P92" s="301"/>
      <c r="Q92" s="282"/>
      <c r="R92" s="128"/>
      <c r="S92" s="285"/>
      <c r="T92" s="285"/>
      <c r="U92" s="285"/>
      <c r="V92" s="281"/>
      <c r="W92" s="281"/>
      <c r="X92" s="128"/>
      <c r="Y92" s="128"/>
      <c r="Z92" s="128"/>
      <c r="AA92" s="128"/>
      <c r="AB92" s="128"/>
      <c r="AC92" s="128"/>
      <c r="AD92" s="128"/>
      <c r="AE92" s="277"/>
    </row>
    <row r="93" spans="1:31" s="129" customFormat="1" x14ac:dyDescent="0.25">
      <c r="A93" s="271"/>
      <c r="B93" s="272"/>
      <c r="C93" s="284"/>
      <c r="D93" s="282"/>
      <c r="E93" s="301"/>
      <c r="F93" s="299"/>
      <c r="G93" s="288"/>
      <c r="H93" s="289"/>
      <c r="I93" s="290"/>
      <c r="J93" s="290"/>
      <c r="K93" s="272"/>
      <c r="L93" s="272"/>
      <c r="M93" s="128"/>
      <c r="N93" s="272"/>
      <c r="O93" s="272"/>
      <c r="P93" s="301"/>
      <c r="Q93" s="282"/>
      <c r="R93" s="128"/>
      <c r="S93" s="285"/>
      <c r="T93" s="285"/>
      <c r="U93" s="285"/>
      <c r="V93" s="281"/>
      <c r="W93" s="281"/>
      <c r="X93" s="128"/>
      <c r="Y93" s="128"/>
      <c r="Z93" s="128"/>
      <c r="AA93" s="128"/>
      <c r="AB93" s="128"/>
      <c r="AC93" s="128"/>
      <c r="AD93" s="128"/>
      <c r="AE93" s="277"/>
    </row>
    <row r="94" spans="1:31" s="129" customFormat="1" x14ac:dyDescent="0.25">
      <c r="A94" s="259"/>
      <c r="B94" s="260"/>
      <c r="C94" s="259"/>
      <c r="D94" s="260"/>
      <c r="E94" s="260"/>
      <c r="F94" s="260"/>
      <c r="G94" s="260"/>
      <c r="H94" s="202"/>
      <c r="I94" s="202"/>
      <c r="J94" s="202"/>
      <c r="K94" s="202"/>
      <c r="L94" s="202"/>
      <c r="M94" s="202"/>
      <c r="N94" s="202"/>
      <c r="O94" s="260"/>
      <c r="P94" s="259"/>
      <c r="Q94" s="260"/>
      <c r="R94" s="202"/>
      <c r="S94" s="202"/>
      <c r="T94" s="202"/>
      <c r="U94" s="260"/>
      <c r="V94" s="260"/>
      <c r="W94" s="260"/>
      <c r="X94" s="260"/>
      <c r="Y94" s="260"/>
      <c r="Z94" s="260"/>
      <c r="AA94" s="202"/>
      <c r="AB94" s="202"/>
      <c r="AC94" s="202"/>
      <c r="AD94" s="202"/>
      <c r="AE94" s="261"/>
    </row>
    <row r="95" spans="1:31" ht="56.25" customHeight="1" x14ac:dyDescent="0.25">
      <c r="A95" s="382" t="s">
        <v>193</v>
      </c>
      <c r="B95" s="262" t="s">
        <v>406</v>
      </c>
      <c r="C95" s="286" t="s">
        <v>292</v>
      </c>
      <c r="D95" s="138" t="str">
        <f>'User Inputs'!C60</f>
        <v>Utility power.</v>
      </c>
      <c r="E95" s="301"/>
      <c r="F95" s="291"/>
      <c r="G95" s="292"/>
      <c r="H95" s="135" t="str">
        <f>C95</f>
        <v>Utility power.</v>
      </c>
      <c r="I95" s="287"/>
      <c r="J95" s="266"/>
      <c r="K95" s="265" t="str">
        <f>C96</f>
        <v>Alternate power source, e.g. solar.</v>
      </c>
      <c r="L95" s="135" t="str">
        <f>C97</f>
        <v>Do not know.</v>
      </c>
      <c r="N95" s="333" t="str">
        <f>IF('Action Results'!C31="N/A","No","Yes")</f>
        <v>Yes</v>
      </c>
      <c r="O95" s="262" t="s">
        <v>498</v>
      </c>
      <c r="P95" s="301"/>
      <c r="Q95" s="424" t="str">
        <f>IF(N95="No","N/A",C96)</f>
        <v>Alternate power source, e.g. solar.</v>
      </c>
      <c r="S95" s="267"/>
      <c r="T95" s="369" t="str">
        <f>C95</f>
        <v>Utility power.</v>
      </c>
      <c r="U95" s="369" t="str">
        <f>C96</f>
        <v>Alternate power source, e.g. solar.</v>
      </c>
      <c r="V95" s="266"/>
      <c r="W95" s="266"/>
      <c r="Y95" s="268" t="str">
        <f>D95</f>
        <v>Utility power.</v>
      </c>
      <c r="Z95" s="372" t="str">
        <f>Q95</f>
        <v>Alternate power source, e.g. solar.</v>
      </c>
      <c r="AA95" s="269">
        <f>IF(OR(N95="No",Z95="N/A"),0,INDEX(T96:U97,MATCH(Y95,S96:S97,0),MATCH(Z95,T95:U95,0)))</f>
        <v>0.5</v>
      </c>
      <c r="AB95" s="252">
        <f>AA95/100*'User Inputs'!$C$39</f>
        <v>5000</v>
      </c>
      <c r="AC95" s="223">
        <f>AB95*'User Inputs'!$C$32/100</f>
        <v>750</v>
      </c>
      <c r="AD95" s="270">
        <f>'Action Results'!I31</f>
        <v>100000</v>
      </c>
      <c r="AE95" s="269">
        <f>IF(AC95=0,0,AD95/AC95)</f>
        <v>133.33333333333334</v>
      </c>
    </row>
    <row r="96" spans="1:31" ht="57" customHeight="1" x14ac:dyDescent="0.25">
      <c r="A96" s="271"/>
      <c r="B96" s="272"/>
      <c r="C96" s="286" t="s">
        <v>293</v>
      </c>
      <c r="D96" s="301"/>
      <c r="E96" s="301"/>
      <c r="F96" s="299"/>
      <c r="G96" s="274" t="s">
        <v>78</v>
      </c>
      <c r="H96" s="262" t="s">
        <v>350</v>
      </c>
      <c r="I96" s="287"/>
      <c r="J96" s="287"/>
      <c r="K96" s="302"/>
      <c r="L96" s="262" t="s">
        <v>98</v>
      </c>
      <c r="N96" s="272"/>
      <c r="O96" s="272"/>
      <c r="P96" s="301"/>
      <c r="Q96" s="301"/>
      <c r="S96" s="135" t="str">
        <f>C95</f>
        <v>Utility power.</v>
      </c>
      <c r="T96" s="276">
        <v>0</v>
      </c>
      <c r="U96" s="276">
        <v>0.5</v>
      </c>
      <c r="V96" s="266"/>
      <c r="W96" s="266"/>
      <c r="AE96" s="277"/>
    </row>
    <row r="97" spans="1:31" ht="27.6" x14ac:dyDescent="0.25">
      <c r="A97" s="271"/>
      <c r="B97" s="272"/>
      <c r="C97" s="232" t="s">
        <v>117</v>
      </c>
      <c r="D97" s="301"/>
      <c r="E97" s="301"/>
      <c r="F97" s="299"/>
      <c r="G97" s="288"/>
      <c r="H97" s="289"/>
      <c r="I97" s="290"/>
      <c r="J97" s="290"/>
      <c r="K97" s="272"/>
      <c r="L97" s="272"/>
      <c r="N97" s="272"/>
      <c r="O97" s="272"/>
      <c r="P97" s="301"/>
      <c r="Q97" s="301"/>
      <c r="S97" s="135" t="str">
        <f>C96</f>
        <v>Alternate power source, e.g. solar.</v>
      </c>
      <c r="T97" s="276">
        <v>0</v>
      </c>
      <c r="U97" s="276">
        <v>0</v>
      </c>
      <c r="V97" s="281"/>
      <c r="W97" s="281"/>
      <c r="AE97" s="277"/>
    </row>
    <row r="98" spans="1:31" x14ac:dyDescent="0.25">
      <c r="A98" s="271"/>
      <c r="B98" s="272"/>
      <c r="C98" s="284"/>
      <c r="D98" s="282"/>
      <c r="E98" s="301"/>
      <c r="F98" s="299"/>
      <c r="G98" s="288"/>
      <c r="H98" s="289"/>
      <c r="I98" s="290"/>
      <c r="J98" s="290"/>
      <c r="K98" s="272"/>
      <c r="L98" s="272"/>
      <c r="N98" s="272"/>
      <c r="O98" s="272"/>
      <c r="P98" s="301"/>
      <c r="Q98" s="282"/>
      <c r="S98" s="285"/>
      <c r="T98" s="285"/>
      <c r="U98" s="285"/>
      <c r="V98" s="281"/>
      <c r="W98" s="281"/>
      <c r="AE98" s="277"/>
    </row>
    <row r="99" spans="1:31" x14ac:dyDescent="0.25">
      <c r="A99" s="271"/>
      <c r="B99" s="272"/>
      <c r="C99" s="284"/>
      <c r="D99" s="282"/>
      <c r="E99" s="301"/>
      <c r="F99" s="299"/>
      <c r="G99" s="288"/>
      <c r="H99" s="289"/>
      <c r="I99" s="290"/>
      <c r="J99" s="290"/>
      <c r="K99" s="272"/>
      <c r="L99" s="272"/>
      <c r="N99" s="272"/>
      <c r="O99" s="272"/>
      <c r="P99" s="301"/>
      <c r="Q99" s="282"/>
      <c r="S99" s="285"/>
      <c r="T99" s="285"/>
      <c r="U99" s="285"/>
      <c r="V99" s="281"/>
      <c r="W99" s="281"/>
      <c r="AE99" s="277"/>
    </row>
    <row r="100" spans="1:31" s="129" customFormat="1" x14ac:dyDescent="0.25">
      <c r="A100" s="259"/>
      <c r="B100" s="260"/>
      <c r="C100" s="259"/>
      <c r="D100" s="260"/>
      <c r="E100" s="260"/>
      <c r="F100" s="260"/>
      <c r="G100" s="260"/>
      <c r="H100" s="202"/>
      <c r="I100" s="202"/>
      <c r="J100" s="202"/>
      <c r="K100" s="202"/>
      <c r="L100" s="202"/>
      <c r="M100" s="202"/>
      <c r="N100" s="202"/>
      <c r="O100" s="260"/>
      <c r="P100" s="259"/>
      <c r="Q100" s="260"/>
      <c r="R100" s="202"/>
      <c r="S100" s="202"/>
      <c r="T100" s="202"/>
      <c r="U100" s="260"/>
      <c r="V100" s="260"/>
      <c r="W100" s="260"/>
      <c r="X100" s="260"/>
      <c r="Y100" s="260"/>
      <c r="Z100" s="260"/>
      <c r="AA100" s="202"/>
      <c r="AB100" s="202"/>
      <c r="AC100" s="202"/>
      <c r="AD100" s="202"/>
      <c r="AE100" s="261"/>
    </row>
    <row r="101" spans="1:31" ht="56.25" customHeight="1" x14ac:dyDescent="0.25">
      <c r="A101" s="382" t="s">
        <v>369</v>
      </c>
      <c r="B101" s="262" t="s">
        <v>50</v>
      </c>
      <c r="C101" s="286" t="s">
        <v>294</v>
      </c>
      <c r="D101" s="138" t="str">
        <f>'User Inputs'!C61</f>
        <v>No.</v>
      </c>
      <c r="E101" s="301"/>
      <c r="F101" s="145"/>
      <c r="G101" s="292"/>
      <c r="H101" s="135" t="str">
        <f>C101</f>
        <v>No.</v>
      </c>
      <c r="I101" s="287"/>
      <c r="J101" s="266"/>
      <c r="K101" s="265" t="str">
        <f>C102</f>
        <v>Yes.</v>
      </c>
      <c r="L101" s="135" t="str">
        <f>C103</f>
        <v>Do not know.</v>
      </c>
      <c r="N101" s="333" t="str">
        <f>IF('Action Results'!C32="N/A","No","Yes")</f>
        <v>Yes</v>
      </c>
      <c r="O101" s="262" t="s">
        <v>499</v>
      </c>
      <c r="P101" s="301"/>
      <c r="Q101" s="424" t="str">
        <f>IF(N101="No","N/A",C102)</f>
        <v>Yes.</v>
      </c>
      <c r="S101" s="267"/>
      <c r="T101" s="369" t="str">
        <f>C101</f>
        <v>No.</v>
      </c>
      <c r="U101" s="369" t="str">
        <f>C102</f>
        <v>Yes.</v>
      </c>
      <c r="V101" s="266"/>
      <c r="W101" s="266"/>
      <c r="Y101" s="268" t="str">
        <f>D101</f>
        <v>No.</v>
      </c>
      <c r="Z101" s="372" t="str">
        <f>Q101</f>
        <v>Yes.</v>
      </c>
      <c r="AA101" s="269">
        <f>IF(OR(N101="No",Z101="N/A"),0,INDEX(T102:U103,MATCH(Y101,S102:S103,0),MATCH(Z101,T101:U101,0)))</f>
        <v>0.5</v>
      </c>
      <c r="AB101" s="252">
        <f>AA101/100*'User Inputs'!$C$39</f>
        <v>5000</v>
      </c>
      <c r="AC101" s="223">
        <f>AB101*'User Inputs'!$C$32/100</f>
        <v>750</v>
      </c>
      <c r="AD101" s="270">
        <f>'Action Results'!I32</f>
        <v>1000</v>
      </c>
      <c r="AE101" s="269">
        <f>IF(AC101=0,0,AD101/AC101)</f>
        <v>1.3333333333333333</v>
      </c>
    </row>
    <row r="102" spans="1:31" ht="59.25" customHeight="1" x14ac:dyDescent="0.25">
      <c r="A102" s="271"/>
      <c r="B102" s="272"/>
      <c r="C102" s="286" t="s">
        <v>295</v>
      </c>
      <c r="D102" s="301"/>
      <c r="E102" s="301"/>
      <c r="F102" s="294"/>
      <c r="G102" s="274" t="s">
        <v>78</v>
      </c>
      <c r="H102" s="262" t="s">
        <v>351</v>
      </c>
      <c r="I102" s="287"/>
      <c r="J102" s="287"/>
      <c r="K102" s="302"/>
      <c r="L102" s="262" t="s">
        <v>99</v>
      </c>
      <c r="N102" s="272"/>
      <c r="O102" s="272"/>
      <c r="P102" s="301"/>
      <c r="Q102" s="301"/>
      <c r="S102" s="135" t="str">
        <f>C101</f>
        <v>No.</v>
      </c>
      <c r="T102" s="276">
        <v>0</v>
      </c>
      <c r="U102" s="276">
        <v>0.5</v>
      </c>
      <c r="V102" s="266"/>
      <c r="W102" s="266"/>
      <c r="AE102" s="277"/>
    </row>
    <row r="103" spans="1:31" ht="24" customHeight="1" x14ac:dyDescent="0.25">
      <c r="A103" s="271"/>
      <c r="B103" s="272"/>
      <c r="C103" s="232" t="s">
        <v>117</v>
      </c>
      <c r="D103" s="301"/>
      <c r="E103" s="301"/>
      <c r="F103" s="294"/>
      <c r="G103" s="288"/>
      <c r="H103" s="289"/>
      <c r="I103" s="290"/>
      <c r="J103" s="290"/>
      <c r="K103" s="272"/>
      <c r="L103" s="272"/>
      <c r="N103" s="272"/>
      <c r="O103" s="272"/>
      <c r="P103" s="301"/>
      <c r="Q103" s="301"/>
      <c r="S103" s="280" t="str">
        <f>C102</f>
        <v>Yes.</v>
      </c>
      <c r="T103" s="276">
        <v>0</v>
      </c>
      <c r="U103" s="276">
        <v>0</v>
      </c>
      <c r="V103" s="281"/>
      <c r="W103" s="281"/>
      <c r="AE103" s="277"/>
    </row>
    <row r="104" spans="1:31" x14ac:dyDescent="0.25">
      <c r="A104" s="271"/>
      <c r="B104" s="272"/>
      <c r="C104" s="284"/>
      <c r="D104" s="282"/>
      <c r="E104" s="301"/>
      <c r="F104" s="294"/>
      <c r="G104" s="288"/>
      <c r="H104" s="289"/>
      <c r="I104" s="290"/>
      <c r="J104" s="290"/>
      <c r="K104" s="272"/>
      <c r="L104" s="272"/>
      <c r="N104" s="272"/>
      <c r="O104" s="272"/>
      <c r="P104" s="301"/>
      <c r="Q104" s="282"/>
      <c r="S104" s="285"/>
      <c r="T104" s="285"/>
      <c r="U104" s="285"/>
      <c r="V104" s="281"/>
      <c r="W104" s="281"/>
      <c r="AE104" s="277"/>
    </row>
    <row r="105" spans="1:31" x14ac:dyDescent="0.25">
      <c r="A105" s="271"/>
      <c r="B105" s="272"/>
      <c r="C105" s="284"/>
      <c r="D105" s="282"/>
      <c r="E105" s="301"/>
      <c r="F105" s="294"/>
      <c r="G105" s="288"/>
      <c r="H105" s="289"/>
      <c r="I105" s="290"/>
      <c r="J105" s="290"/>
      <c r="K105" s="272"/>
      <c r="L105" s="272"/>
      <c r="N105" s="272"/>
      <c r="O105" s="272"/>
      <c r="P105" s="301"/>
      <c r="Q105" s="282"/>
      <c r="S105" s="285"/>
      <c r="T105" s="285"/>
      <c r="U105" s="285"/>
      <c r="V105" s="281"/>
      <c r="W105" s="281"/>
      <c r="AE105" s="277"/>
    </row>
    <row r="106" spans="1:31" x14ac:dyDescent="0.25">
      <c r="A106" s="259"/>
      <c r="B106" s="260"/>
      <c r="C106" s="259"/>
      <c r="D106" s="260"/>
      <c r="E106" s="260"/>
      <c r="F106" s="260"/>
      <c r="G106" s="260"/>
      <c r="H106" s="202"/>
      <c r="I106" s="202"/>
      <c r="J106" s="202"/>
      <c r="K106" s="202"/>
      <c r="L106" s="202"/>
      <c r="M106" s="202"/>
      <c r="N106" s="202"/>
      <c r="O106" s="260"/>
      <c r="P106" s="259"/>
      <c r="Q106" s="260"/>
      <c r="R106" s="202"/>
      <c r="S106" s="202"/>
      <c r="T106" s="202"/>
      <c r="U106" s="260"/>
      <c r="V106" s="260"/>
      <c r="W106" s="260"/>
      <c r="X106" s="260"/>
      <c r="Y106" s="260"/>
      <c r="Z106" s="260"/>
      <c r="AA106" s="202"/>
      <c r="AB106" s="202"/>
      <c r="AC106" s="202"/>
      <c r="AD106" s="202"/>
      <c r="AE106" s="261"/>
    </row>
    <row r="107" spans="1:31" ht="73.5" customHeight="1" x14ac:dyDescent="0.25">
      <c r="A107" s="382" t="s">
        <v>194</v>
      </c>
      <c r="B107" s="262" t="s">
        <v>361</v>
      </c>
      <c r="C107" s="286" t="s">
        <v>363</v>
      </c>
      <c r="D107" s="138" t="str">
        <f>'User Inputs'!C62</f>
        <v>No, the data center is over-lit and/or light is provided where it is not needed.</v>
      </c>
      <c r="E107" s="301"/>
      <c r="G107" s="292"/>
      <c r="H107" s="135" t="str">
        <f>C107</f>
        <v>No, the data center is over-lit and/or light is provided where it is not needed.</v>
      </c>
      <c r="I107" s="287"/>
      <c r="J107" s="266"/>
      <c r="K107" s="265" t="str">
        <f>C108</f>
        <v>Yes, sufficient light is provided only to the areas that need it.</v>
      </c>
      <c r="L107" s="135" t="str">
        <f>C109</f>
        <v>Do not know.</v>
      </c>
      <c r="N107" s="333" t="str">
        <f>IF(AND('Action Results'!C33="N/A",'Action Results'!C34="N/A"),"No","Yes")</f>
        <v>Yes</v>
      </c>
      <c r="O107" s="262" t="s">
        <v>500</v>
      </c>
      <c r="P107" s="301"/>
      <c r="Q107" s="424" t="str">
        <f>IF(N107="No","N/A",C108)</f>
        <v>Yes, sufficient light is provided only to the areas that need it.</v>
      </c>
      <c r="S107" s="266"/>
      <c r="T107" s="369" t="str">
        <f>C107</f>
        <v>No, the data center is over-lit and/or light is provided where it is not needed.</v>
      </c>
      <c r="U107" s="369" t="str">
        <f>C108</f>
        <v>Yes, sufficient light is provided only to the areas that need it.</v>
      </c>
      <c r="V107" s="266"/>
      <c r="W107" s="266"/>
      <c r="Y107" s="268" t="str">
        <f>D107</f>
        <v>No, the data center is over-lit and/or light is provided where it is not needed.</v>
      </c>
      <c r="Z107" s="372" t="str">
        <f>Q107</f>
        <v>Yes, sufficient light is provided only to the areas that need it.</v>
      </c>
      <c r="AA107" s="269">
        <f>IF(OR(N107="No",Z107="N/A"),0,INDEX(T108:U109,MATCH(Y107,S108:S109,0),MATCH(Z107,T107:U107,0)))</f>
        <v>15</v>
      </c>
      <c r="AB107" s="252">
        <f>AA107/100*'User Inputs'!$C$31</f>
        <v>412500</v>
      </c>
      <c r="AC107" s="223">
        <f>AB107*'User Inputs'!$C$32/100</f>
        <v>61875</v>
      </c>
      <c r="AD107" s="270">
        <f>'Action Results'!I38</f>
        <v>400000</v>
      </c>
      <c r="AE107" s="269">
        <f>IF(AC107=0,0,AD107/AC107)</f>
        <v>6.4646464646464645</v>
      </c>
    </row>
    <row r="108" spans="1:31" ht="75.75" customHeight="1" x14ac:dyDescent="0.25">
      <c r="A108" s="271"/>
      <c r="B108" s="272"/>
      <c r="C108" s="286" t="s">
        <v>356</v>
      </c>
      <c r="D108" s="301"/>
      <c r="E108" s="301"/>
      <c r="G108" s="274" t="s">
        <v>78</v>
      </c>
      <c r="H108" s="262" t="s">
        <v>364</v>
      </c>
      <c r="I108" s="287"/>
      <c r="J108" s="287"/>
      <c r="K108" s="302"/>
      <c r="L108" s="262" t="s">
        <v>397</v>
      </c>
      <c r="N108" s="272"/>
      <c r="O108" s="272"/>
      <c r="P108" s="301"/>
      <c r="Q108" s="301"/>
      <c r="S108" s="135" t="str">
        <f>C107</f>
        <v>No, the data center is over-lit and/or light is provided where it is not needed.</v>
      </c>
      <c r="T108" s="276">
        <v>0</v>
      </c>
      <c r="U108" s="276">
        <v>15</v>
      </c>
      <c r="V108" s="266"/>
      <c r="W108" s="266"/>
    </row>
    <row r="109" spans="1:31" ht="57" customHeight="1" x14ac:dyDescent="0.25">
      <c r="A109" s="271"/>
      <c r="B109" s="272"/>
      <c r="C109" s="232" t="s">
        <v>117</v>
      </c>
      <c r="D109" s="301"/>
      <c r="E109" s="301"/>
      <c r="G109" s="274" t="s">
        <v>79</v>
      </c>
      <c r="H109" s="262" t="s">
        <v>362</v>
      </c>
      <c r="I109" s="290"/>
      <c r="J109" s="290"/>
      <c r="K109" s="272"/>
      <c r="L109" s="272"/>
      <c r="N109" s="272"/>
      <c r="O109" s="272"/>
      <c r="P109" s="301"/>
      <c r="Q109" s="301"/>
      <c r="S109" s="318" t="str">
        <f>C108</f>
        <v>Yes, sufficient light is provided only to the areas that need it.</v>
      </c>
      <c r="T109" s="276">
        <v>0</v>
      </c>
      <c r="U109" s="276">
        <v>0</v>
      </c>
      <c r="V109" s="281"/>
      <c r="W109" s="281"/>
    </row>
    <row r="110" spans="1:31" x14ac:dyDescent="0.25">
      <c r="A110" s="271"/>
      <c r="B110" s="272"/>
      <c r="C110" s="284"/>
      <c r="D110" s="282"/>
      <c r="E110" s="301"/>
      <c r="G110" s="288"/>
      <c r="H110" s="289"/>
      <c r="I110" s="290"/>
      <c r="J110" s="290"/>
      <c r="K110" s="272"/>
      <c r="L110" s="272"/>
      <c r="N110" s="272"/>
      <c r="O110" s="272"/>
      <c r="P110" s="301"/>
      <c r="Q110" s="282"/>
      <c r="S110" s="285"/>
      <c r="T110" s="285"/>
      <c r="U110" s="285"/>
      <c r="V110" s="281"/>
      <c r="W110" s="281"/>
    </row>
    <row r="111" spans="1:31" x14ac:dyDescent="0.25">
      <c r="A111" s="271"/>
      <c r="B111" s="272"/>
      <c r="C111" s="284"/>
      <c r="D111" s="282"/>
      <c r="E111" s="301"/>
      <c r="G111" s="288"/>
      <c r="H111" s="289"/>
      <c r="I111" s="290"/>
      <c r="J111" s="290"/>
      <c r="K111" s="272"/>
      <c r="L111" s="272"/>
      <c r="N111" s="272"/>
      <c r="O111" s="272"/>
      <c r="P111" s="301"/>
      <c r="Q111" s="282"/>
      <c r="S111" s="285"/>
      <c r="T111" s="285"/>
      <c r="U111" s="285"/>
      <c r="V111" s="281"/>
      <c r="W111" s="281"/>
    </row>
    <row r="112" spans="1:31" x14ac:dyDescent="0.25">
      <c r="A112" s="259"/>
      <c r="B112" s="260"/>
      <c r="C112" s="259"/>
      <c r="D112" s="260"/>
      <c r="E112" s="260"/>
      <c r="F112" s="260"/>
      <c r="G112" s="260"/>
      <c r="H112" s="202"/>
      <c r="I112" s="202"/>
      <c r="J112" s="202"/>
      <c r="K112" s="202"/>
      <c r="L112" s="202"/>
      <c r="M112" s="202"/>
      <c r="N112" s="202"/>
      <c r="O112" s="260"/>
      <c r="P112" s="259"/>
      <c r="Q112" s="260"/>
      <c r="R112" s="202"/>
      <c r="S112" s="202"/>
      <c r="T112" s="202"/>
      <c r="U112" s="260"/>
      <c r="V112" s="260"/>
      <c r="W112" s="260"/>
      <c r="X112" s="260"/>
      <c r="Y112" s="260"/>
      <c r="Z112" s="260"/>
      <c r="AA112" s="202"/>
      <c r="AB112" s="202"/>
      <c r="AC112" s="202"/>
      <c r="AD112" s="202"/>
      <c r="AE112" s="261"/>
    </row>
    <row r="113" spans="1:38" ht="33.75" customHeight="1" x14ac:dyDescent="0.25">
      <c r="A113" s="382" t="s">
        <v>195</v>
      </c>
      <c r="B113" s="262" t="s">
        <v>85</v>
      </c>
      <c r="C113" s="286" t="s">
        <v>365</v>
      </c>
      <c r="D113" s="138" t="str">
        <f>'User Inputs'!C64</f>
        <v>No control (always on).</v>
      </c>
      <c r="E113" s="301"/>
      <c r="G113" s="292"/>
      <c r="H113" s="135" t="str">
        <f>C113</f>
        <v>No control (always on).</v>
      </c>
      <c r="I113" s="135" t="str">
        <f>C114</f>
        <v>Timeclock.</v>
      </c>
      <c r="J113" s="318" t="str">
        <f>C115</f>
        <v>Manual Control.</v>
      </c>
      <c r="K113" s="135" t="str">
        <f>C116</f>
        <v>Occupancy Sensor.</v>
      </c>
      <c r="L113" s="135" t="str">
        <f>C117</f>
        <v>Do not know.</v>
      </c>
      <c r="M113" s="144"/>
      <c r="N113" s="333" t="str">
        <f>IF(AND('Action Results'!C35="N/A",'Action Results'!C36="N/A",'Action Results'!C37="N/A"),"No","Yes")</f>
        <v>Yes</v>
      </c>
      <c r="O113" s="262" t="s">
        <v>669</v>
      </c>
      <c r="P113" s="324" t="str">
        <f>C113</f>
        <v>No control (always on).</v>
      </c>
      <c r="Q113" s="333" t="str">
        <f>'Action Results'!E35</f>
        <v>Occupancy Sensor.</v>
      </c>
      <c r="R113" s="144"/>
      <c r="S113" s="266"/>
      <c r="T113" s="327" t="str">
        <f>P113</f>
        <v>No control (always on).</v>
      </c>
      <c r="U113" s="327" t="str">
        <f>P114</f>
        <v>Timeclock.</v>
      </c>
      <c r="V113" s="327" t="str">
        <f>P115</f>
        <v>Manual Control.</v>
      </c>
      <c r="W113" s="327" t="str">
        <f>P116</f>
        <v>Occupancy Sensor.</v>
      </c>
      <c r="Y113" s="268" t="str">
        <f>D113</f>
        <v>No control (always on).</v>
      </c>
      <c r="Z113" s="372" t="str">
        <f>Q113</f>
        <v>Occupancy Sensor.</v>
      </c>
      <c r="AA113" s="269">
        <f>IF(OR(N113="No",Z113="N/A"),0,INDEX(T114:W117,MATCH(Y113,S114:S117,0),MATCH(Z113,T113:W113,0)))</f>
        <v>70</v>
      </c>
      <c r="AB113" s="252">
        <f>AA113/100*'User Inputs'!$C$31</f>
        <v>1924999.9999999998</v>
      </c>
      <c r="AC113" s="223">
        <f>AB113*'User Inputs'!$C$32/100</f>
        <v>288749.99999999994</v>
      </c>
      <c r="AD113" s="270">
        <f>'Action Results'!I35</f>
        <v>20000</v>
      </c>
      <c r="AE113" s="269">
        <f>IF(AC113=0,0,AD113/AC113)</f>
        <v>6.9264069264069278E-2</v>
      </c>
    </row>
    <row r="114" spans="1:38" ht="60.75" customHeight="1" x14ac:dyDescent="0.25">
      <c r="A114" s="271"/>
      <c r="B114" s="272"/>
      <c r="C114" s="286" t="s">
        <v>366</v>
      </c>
      <c r="D114" s="272"/>
      <c r="E114" s="301"/>
      <c r="G114" s="274" t="s">
        <v>78</v>
      </c>
      <c r="H114" s="262" t="s">
        <v>371</v>
      </c>
      <c r="I114" s="142" t="str">
        <f>H115</f>
        <v>Implement Manually Controlled Zone Lighting Control.</v>
      </c>
      <c r="J114" s="142" t="str">
        <f>H116</f>
        <v>Install Occupancy Sensors to Control Lights.</v>
      </c>
      <c r="K114" s="272"/>
      <c r="L114" s="262" t="s">
        <v>398</v>
      </c>
      <c r="N114" s="272"/>
      <c r="O114" s="272"/>
      <c r="P114" s="324" t="str">
        <f>C114</f>
        <v>Timeclock.</v>
      </c>
      <c r="Q114" s="272"/>
      <c r="S114" s="135" t="str">
        <f>C113</f>
        <v>No control (always on).</v>
      </c>
      <c r="T114" s="276">
        <v>0</v>
      </c>
      <c r="U114" s="276">
        <v>25</v>
      </c>
      <c r="V114" s="276">
        <v>50</v>
      </c>
      <c r="W114" s="276">
        <v>70</v>
      </c>
      <c r="AE114" s="277"/>
    </row>
    <row r="115" spans="1:38" ht="60" customHeight="1" x14ac:dyDescent="0.25">
      <c r="A115" s="271"/>
      <c r="B115" s="272"/>
      <c r="C115" s="286" t="s">
        <v>367</v>
      </c>
      <c r="D115" s="272"/>
      <c r="E115" s="301"/>
      <c r="G115" s="274" t="s">
        <v>79</v>
      </c>
      <c r="H115" s="262" t="s">
        <v>372</v>
      </c>
      <c r="I115" s="142" t="str">
        <f>H116</f>
        <v>Install Occupancy Sensors to Control Lights.</v>
      </c>
      <c r="J115" s="287"/>
      <c r="K115" s="300"/>
      <c r="L115" s="300"/>
      <c r="N115" s="272"/>
      <c r="O115" s="272"/>
      <c r="P115" s="324" t="str">
        <f>C115</f>
        <v>Manual Control.</v>
      </c>
      <c r="Q115" s="272"/>
      <c r="S115" s="135" t="str">
        <f>C114</f>
        <v>Timeclock.</v>
      </c>
      <c r="T115" s="276">
        <v>0</v>
      </c>
      <c r="U115" s="276">
        <v>0</v>
      </c>
      <c r="V115" s="276">
        <v>25</v>
      </c>
      <c r="W115" s="276">
        <v>35</v>
      </c>
      <c r="AE115" s="277"/>
    </row>
    <row r="116" spans="1:38" ht="42" customHeight="1" x14ac:dyDescent="0.25">
      <c r="A116" s="271"/>
      <c r="B116" s="272"/>
      <c r="C116" s="286" t="s">
        <v>368</v>
      </c>
      <c r="D116" s="272"/>
      <c r="E116" s="301"/>
      <c r="G116" s="274" t="s">
        <v>80</v>
      </c>
      <c r="H116" s="262" t="s">
        <v>370</v>
      </c>
      <c r="I116" s="287"/>
      <c r="J116" s="287"/>
      <c r="K116" s="272"/>
      <c r="L116" s="272"/>
      <c r="N116" s="272"/>
      <c r="O116" s="272"/>
      <c r="P116" s="324" t="str">
        <f>C116</f>
        <v>Occupancy Sensor.</v>
      </c>
      <c r="Q116" s="272"/>
      <c r="S116" s="135" t="str">
        <f>C115</f>
        <v>Manual Control.</v>
      </c>
      <c r="T116" s="276">
        <v>0</v>
      </c>
      <c r="U116" s="276">
        <v>0</v>
      </c>
      <c r="V116" s="276">
        <v>0</v>
      </c>
      <c r="W116" s="276">
        <v>25</v>
      </c>
      <c r="AE116" s="277"/>
    </row>
    <row r="117" spans="1:38" ht="36.75" customHeight="1" x14ac:dyDescent="0.25">
      <c r="A117" s="271"/>
      <c r="B117" s="272"/>
      <c r="C117" s="319" t="s">
        <v>117</v>
      </c>
      <c r="D117" s="282"/>
      <c r="E117" s="301"/>
      <c r="G117" s="288"/>
      <c r="H117" s="289"/>
      <c r="I117" s="290"/>
      <c r="J117" s="290"/>
      <c r="K117" s="272"/>
      <c r="L117" s="272"/>
      <c r="N117" s="272"/>
      <c r="O117" s="272"/>
      <c r="P117" s="335" t="s">
        <v>104</v>
      </c>
      <c r="Q117" s="282"/>
      <c r="S117" s="318" t="str">
        <f>C116</f>
        <v>Occupancy Sensor.</v>
      </c>
      <c r="T117" s="276">
        <v>0</v>
      </c>
      <c r="U117" s="276">
        <v>0</v>
      </c>
      <c r="V117" s="276">
        <v>0</v>
      </c>
      <c r="W117" s="276">
        <v>0</v>
      </c>
      <c r="AE117" s="277"/>
    </row>
    <row r="118" spans="1:38" s="129" customFormat="1" x14ac:dyDescent="0.25">
      <c r="A118" s="259"/>
      <c r="B118" s="260"/>
      <c r="C118" s="259"/>
      <c r="D118" s="260"/>
      <c r="E118" s="260"/>
      <c r="F118" s="260"/>
      <c r="G118" s="260"/>
      <c r="H118" s="202"/>
      <c r="I118" s="202"/>
      <c r="J118" s="202"/>
      <c r="K118" s="202"/>
      <c r="L118" s="202"/>
      <c r="M118" s="202"/>
      <c r="N118" s="202"/>
      <c r="O118" s="260"/>
      <c r="P118" s="259"/>
      <c r="Q118" s="260"/>
      <c r="R118" s="202"/>
      <c r="S118" s="202"/>
      <c r="T118" s="202"/>
      <c r="U118" s="260"/>
      <c r="V118" s="260"/>
      <c r="W118" s="260"/>
      <c r="X118" s="260"/>
      <c r="Y118" s="260"/>
      <c r="Z118" s="260"/>
      <c r="AA118" s="202"/>
      <c r="AB118" s="202"/>
      <c r="AC118" s="202"/>
      <c r="AD118" s="202"/>
      <c r="AE118" s="261"/>
    </row>
    <row r="119" spans="1:38" s="129" customFormat="1" ht="61.5" customHeight="1" x14ac:dyDescent="0.25">
      <c r="A119" s="382" t="s">
        <v>468</v>
      </c>
      <c r="B119" s="262" t="s">
        <v>399</v>
      </c>
      <c r="C119" s="319" t="s">
        <v>358</v>
      </c>
      <c r="D119" s="138" t="str">
        <f>'User Inputs'!C67</f>
        <v>Compact Fluorescent (CFL) or T12 Fluorescent.</v>
      </c>
      <c r="E119" s="301"/>
      <c r="F119" s="144"/>
      <c r="G119" s="292"/>
      <c r="H119" s="135" t="str">
        <f>C119</f>
        <v>Compact Fluorescent (CFL) or T12 Fluorescent.</v>
      </c>
      <c r="I119" s="135" t="str">
        <f>C120</f>
        <v>T8 Fluorescent.</v>
      </c>
      <c r="J119" s="265" t="str">
        <f>C121</f>
        <v>T5 Fluorescent.</v>
      </c>
      <c r="K119" s="135" t="str">
        <f>C122</f>
        <v>LED.</v>
      </c>
      <c r="L119" s="135" t="str">
        <f>C123</f>
        <v>Do not know.</v>
      </c>
      <c r="N119" s="333" t="str">
        <f>IF(AND('Action Results'!C38="N/A",'Action Results'!C39="N/A",'Action Results'!C40="N/A"),"No","Yes")</f>
        <v>Yes</v>
      </c>
      <c r="O119" s="262" t="s">
        <v>670</v>
      </c>
      <c r="P119" s="324" t="str">
        <f>C119</f>
        <v>Compact Fluorescent (CFL) or T12 Fluorescent.</v>
      </c>
      <c r="Q119" s="333" t="str">
        <f>'Action Results'!E38</f>
        <v>T5 Fluorescent.</v>
      </c>
      <c r="S119" s="266"/>
      <c r="T119" s="327" t="str">
        <f>P119</f>
        <v>Compact Fluorescent (CFL) or T12 Fluorescent.</v>
      </c>
      <c r="U119" s="327" t="str">
        <f>P120</f>
        <v>T8 Fluorescent.</v>
      </c>
      <c r="V119" s="327" t="str">
        <f>P121</f>
        <v>T5 Fluorescent.</v>
      </c>
      <c r="W119" s="327" t="str">
        <f>P122</f>
        <v>LED.</v>
      </c>
      <c r="Y119" s="268" t="str">
        <f>D119</f>
        <v>Compact Fluorescent (CFL) or T12 Fluorescent.</v>
      </c>
      <c r="Z119" s="372" t="str">
        <f>Q119</f>
        <v>T5 Fluorescent.</v>
      </c>
      <c r="AA119" s="269">
        <f>IF(OR(N119="No",Z119="N/A"),0,INDEX(T120:W123,MATCH(Y119,S120:S123,0),MATCH(Z119,T119:W119,0)))</f>
        <v>25</v>
      </c>
      <c r="AB119" s="252">
        <f>AA119/100*'User Inputs'!$C$31</f>
        <v>687500</v>
      </c>
      <c r="AC119" s="223">
        <f>AB119*'User Inputs'!$C$32/100</f>
        <v>103125</v>
      </c>
      <c r="AD119" s="270">
        <f>'Action Results'!I33</f>
        <v>400000</v>
      </c>
      <c r="AE119" s="269">
        <f>IF(AC119=0,0,AD119/AC119)</f>
        <v>3.8787878787878789</v>
      </c>
    </row>
    <row r="120" spans="1:38" s="129" customFormat="1" ht="64.5" customHeight="1" x14ac:dyDescent="0.25">
      <c r="A120" s="271"/>
      <c r="B120" s="272"/>
      <c r="C120" s="319" t="s">
        <v>359</v>
      </c>
      <c r="D120" s="272"/>
      <c r="E120" s="301"/>
      <c r="F120" s="144"/>
      <c r="G120" s="274" t="s">
        <v>78</v>
      </c>
      <c r="H120" s="320" t="s">
        <v>373</v>
      </c>
      <c r="I120" s="142" t="str">
        <f>H121</f>
        <v>Install Linear Fluorescent T5 Fixtures.</v>
      </c>
      <c r="J120" s="142" t="str">
        <f>H122</f>
        <v>Install LED Fixtures.</v>
      </c>
      <c r="K120" s="272"/>
      <c r="L120" s="262" t="s">
        <v>400</v>
      </c>
      <c r="N120" s="272"/>
      <c r="O120" s="272"/>
      <c r="P120" s="324" t="str">
        <f>C120</f>
        <v>T8 Fluorescent.</v>
      </c>
      <c r="Q120" s="272"/>
      <c r="S120" s="135" t="str">
        <f>C119</f>
        <v>Compact Fluorescent (CFL) or T12 Fluorescent.</v>
      </c>
      <c r="T120" s="276">
        <v>0</v>
      </c>
      <c r="U120" s="276">
        <v>15</v>
      </c>
      <c r="V120" s="276">
        <v>25</v>
      </c>
      <c r="W120" s="276">
        <v>35</v>
      </c>
      <c r="AA120" s="303"/>
      <c r="AB120" s="303"/>
      <c r="AE120" s="303"/>
    </row>
    <row r="121" spans="1:38" s="129" customFormat="1" ht="35.25" customHeight="1" x14ac:dyDescent="0.25">
      <c r="A121" s="271"/>
      <c r="B121" s="272"/>
      <c r="C121" s="319" t="s">
        <v>360</v>
      </c>
      <c r="D121" s="302"/>
      <c r="E121" s="301"/>
      <c r="F121" s="167"/>
      <c r="G121" s="274" t="s">
        <v>79</v>
      </c>
      <c r="H121" s="320" t="s">
        <v>374</v>
      </c>
      <c r="I121" s="142" t="str">
        <f>H122</f>
        <v>Install LED Fixtures.</v>
      </c>
      <c r="J121" s="275"/>
      <c r="K121" s="300"/>
      <c r="L121" s="300"/>
      <c r="N121" s="272"/>
      <c r="O121" s="272"/>
      <c r="P121" s="324" t="str">
        <f>C121</f>
        <v>T5 Fluorescent.</v>
      </c>
      <c r="Q121" s="302"/>
      <c r="S121" s="135" t="str">
        <f>C120</f>
        <v>T8 Fluorescent.</v>
      </c>
      <c r="T121" s="276">
        <v>0</v>
      </c>
      <c r="U121" s="276">
        <v>0</v>
      </c>
      <c r="V121" s="276">
        <v>10</v>
      </c>
      <c r="W121" s="276">
        <v>20</v>
      </c>
      <c r="AE121" s="303"/>
    </row>
    <row r="122" spans="1:38" s="129" customFormat="1" ht="17.25" customHeight="1" x14ac:dyDescent="0.25">
      <c r="A122" s="271"/>
      <c r="B122" s="272"/>
      <c r="C122" s="319" t="s">
        <v>357</v>
      </c>
      <c r="D122" s="272"/>
      <c r="E122" s="301"/>
      <c r="F122" s="254"/>
      <c r="G122" s="274" t="s">
        <v>80</v>
      </c>
      <c r="H122" s="320" t="s">
        <v>375</v>
      </c>
      <c r="I122" s="290"/>
      <c r="J122" s="290"/>
      <c r="K122" s="272"/>
      <c r="L122" s="272"/>
      <c r="N122" s="272"/>
      <c r="O122" s="272"/>
      <c r="P122" s="324" t="str">
        <f>C122</f>
        <v>LED.</v>
      </c>
      <c r="Q122" s="272"/>
      <c r="S122" s="135" t="str">
        <f>C121</f>
        <v>T5 Fluorescent.</v>
      </c>
      <c r="T122" s="276">
        <v>0</v>
      </c>
      <c r="U122" s="276">
        <v>0</v>
      </c>
      <c r="V122" s="276">
        <v>0</v>
      </c>
      <c r="W122" s="276">
        <v>10</v>
      </c>
      <c r="AE122" s="303"/>
    </row>
    <row r="123" spans="1:38" s="129" customFormat="1" x14ac:dyDescent="0.25">
      <c r="A123" s="271"/>
      <c r="B123" s="272"/>
      <c r="C123" s="232" t="s">
        <v>117</v>
      </c>
      <c r="D123" s="298"/>
      <c r="E123" s="301"/>
      <c r="F123" s="299"/>
      <c r="G123" s="288"/>
      <c r="H123" s="289"/>
      <c r="I123" s="290"/>
      <c r="J123" s="290"/>
      <c r="K123" s="272"/>
      <c r="L123" s="272"/>
      <c r="N123" s="272"/>
      <c r="O123" s="272"/>
      <c r="P123" s="335" t="s">
        <v>104</v>
      </c>
      <c r="Q123" s="298"/>
      <c r="S123" s="135" t="str">
        <f>C122</f>
        <v>LED.</v>
      </c>
      <c r="T123" s="276">
        <v>0</v>
      </c>
      <c r="U123" s="276">
        <v>0</v>
      </c>
      <c r="V123" s="276">
        <v>0</v>
      </c>
      <c r="W123" s="276">
        <v>0</v>
      </c>
      <c r="AE123" s="303"/>
    </row>
    <row r="124" spans="1:38" s="129" customFormat="1" x14ac:dyDescent="0.25">
      <c r="A124" s="259"/>
      <c r="B124" s="260"/>
      <c r="C124" s="259"/>
      <c r="D124" s="260"/>
      <c r="E124" s="260"/>
      <c r="F124" s="260"/>
      <c r="G124" s="260"/>
      <c r="H124" s="202"/>
      <c r="I124" s="202"/>
      <c r="J124" s="202"/>
      <c r="K124" s="202"/>
      <c r="L124" s="202"/>
      <c r="M124" s="202"/>
      <c r="N124" s="202"/>
      <c r="O124" s="202"/>
      <c r="P124" s="202"/>
      <c r="Q124" s="202"/>
      <c r="R124" s="202"/>
      <c r="S124" s="202"/>
      <c r="T124" s="202"/>
      <c r="U124" s="260"/>
      <c r="V124" s="260"/>
      <c r="W124" s="260"/>
      <c r="X124" s="260"/>
      <c r="Y124" s="260"/>
      <c r="Z124" s="260"/>
      <c r="AA124" s="202"/>
      <c r="AB124" s="202"/>
      <c r="AC124" s="202"/>
      <c r="AD124" s="202"/>
      <c r="AE124" s="261"/>
    </row>
    <row r="126" spans="1:38" ht="21.6" x14ac:dyDescent="0.25">
      <c r="B126" s="128"/>
      <c r="AG126" s="304" t="s">
        <v>171</v>
      </c>
      <c r="AI126" s="253"/>
      <c r="AJ126" s="193"/>
      <c r="AK126" s="254"/>
      <c r="AL126" s="129"/>
    </row>
    <row r="127" spans="1:38" x14ac:dyDescent="0.25">
      <c r="AG127" s="134" t="s">
        <v>92</v>
      </c>
      <c r="AH127" s="253"/>
      <c r="AI127" s="253"/>
      <c r="AJ127" s="193"/>
      <c r="AK127" s="254"/>
      <c r="AL127" s="129"/>
    </row>
    <row r="128" spans="1:38" x14ac:dyDescent="0.25">
      <c r="AG128" s="135" t="s">
        <v>172</v>
      </c>
      <c r="AH128" s="134"/>
      <c r="AI128" s="134"/>
      <c r="AJ128" s="134"/>
      <c r="AK128" s="254"/>
      <c r="AL128" s="129"/>
    </row>
    <row r="129" spans="33:38" ht="12.75" customHeight="1" x14ac:dyDescent="0.25">
      <c r="AG129" s="136" t="s">
        <v>149</v>
      </c>
      <c r="AH129" s="528" t="s">
        <v>76</v>
      </c>
      <c r="AI129" s="539"/>
      <c r="AJ129" s="529"/>
      <c r="AK129" s="142" t="s">
        <v>606</v>
      </c>
      <c r="AL129" s="129"/>
    </row>
    <row r="130" spans="33:38" ht="27.6" x14ac:dyDescent="0.25">
      <c r="AG130" s="136" t="s">
        <v>150</v>
      </c>
      <c r="AH130" s="528" t="s">
        <v>47</v>
      </c>
      <c r="AI130" s="539"/>
      <c r="AJ130" s="529"/>
      <c r="AK130" s="142" t="s">
        <v>421</v>
      </c>
      <c r="AL130" s="305"/>
    </row>
    <row r="131" spans="33:38" x14ac:dyDescent="0.25">
      <c r="AG131" s="136" t="s">
        <v>151</v>
      </c>
      <c r="AH131" s="528" t="s">
        <v>74</v>
      </c>
      <c r="AI131" s="539"/>
      <c r="AJ131" s="529"/>
      <c r="AK131" s="343" t="s">
        <v>422</v>
      </c>
    </row>
    <row r="132" spans="33:38" ht="28.5" customHeight="1" x14ac:dyDescent="0.25">
      <c r="AG132" s="136" t="s">
        <v>152</v>
      </c>
      <c r="AH132" s="528" t="s">
        <v>75</v>
      </c>
      <c r="AI132" s="539"/>
      <c r="AJ132" s="529"/>
      <c r="AK132" s="343" t="s">
        <v>423</v>
      </c>
    </row>
    <row r="133" spans="33:38" ht="47.25" customHeight="1" x14ac:dyDescent="0.25">
      <c r="AG133" s="136" t="s">
        <v>153</v>
      </c>
      <c r="AH133" s="528" t="s">
        <v>386</v>
      </c>
      <c r="AI133" s="539"/>
      <c r="AJ133" s="529"/>
      <c r="AK133" s="343" t="s">
        <v>607</v>
      </c>
    </row>
    <row r="135" spans="33:38" x14ac:dyDescent="0.25">
      <c r="AG135" s="134" t="s">
        <v>116</v>
      </c>
    </row>
    <row r="136" spans="33:38" x14ac:dyDescent="0.25">
      <c r="AG136" s="135" t="s">
        <v>172</v>
      </c>
      <c r="AH136" s="134"/>
      <c r="AI136" s="134"/>
      <c r="AJ136" s="134"/>
      <c r="AK136" s="134"/>
    </row>
    <row r="137" spans="33:38" ht="41.25" customHeight="1" x14ac:dyDescent="0.25">
      <c r="AG137" s="136" t="s">
        <v>154</v>
      </c>
      <c r="AH137" s="528" t="s">
        <v>83</v>
      </c>
      <c r="AI137" s="539"/>
      <c r="AJ137" s="529"/>
      <c r="AK137" s="343" t="s">
        <v>431</v>
      </c>
    </row>
    <row r="138" spans="33:38" x14ac:dyDescent="0.25">
      <c r="AG138" s="136" t="s">
        <v>155</v>
      </c>
      <c r="AH138" s="448" t="s">
        <v>74</v>
      </c>
      <c r="AI138" s="486" t="s">
        <v>173</v>
      </c>
      <c r="AJ138" s="174" t="s">
        <v>174</v>
      </c>
      <c r="AK138" s="486" t="s">
        <v>432</v>
      </c>
    </row>
    <row r="139" spans="33:38" x14ac:dyDescent="0.25">
      <c r="AG139" s="136" t="s">
        <v>156</v>
      </c>
      <c r="AH139" s="448"/>
      <c r="AI139" s="472"/>
      <c r="AJ139" s="174" t="s">
        <v>175</v>
      </c>
      <c r="AK139" s="472"/>
    </row>
    <row r="140" spans="33:38" x14ac:dyDescent="0.25">
      <c r="AG140" s="136" t="s">
        <v>157</v>
      </c>
      <c r="AH140" s="448"/>
      <c r="AI140" s="487"/>
      <c r="AJ140" s="174" t="s">
        <v>176</v>
      </c>
      <c r="AK140" s="487"/>
    </row>
    <row r="141" spans="33:38" ht="30" customHeight="1" x14ac:dyDescent="0.25">
      <c r="AG141" s="136" t="s">
        <v>158</v>
      </c>
      <c r="AH141" s="448"/>
      <c r="AI141" s="528" t="s">
        <v>81</v>
      </c>
      <c r="AJ141" s="529"/>
      <c r="AK141" s="343" t="s">
        <v>433</v>
      </c>
    </row>
    <row r="142" spans="33:38" ht="28.5" customHeight="1" x14ac:dyDescent="0.25">
      <c r="AG142" s="136" t="s">
        <v>159</v>
      </c>
      <c r="AH142" s="448"/>
      <c r="AI142" s="528" t="s">
        <v>82</v>
      </c>
      <c r="AJ142" s="529"/>
      <c r="AK142" s="343" t="s">
        <v>434</v>
      </c>
    </row>
    <row r="144" spans="33:38" x14ac:dyDescent="0.25">
      <c r="AG144" s="134" t="s">
        <v>504</v>
      </c>
    </row>
    <row r="145" spans="33:38" ht="27.6" x14ac:dyDescent="0.25">
      <c r="AG145" s="136" t="s">
        <v>160</v>
      </c>
      <c r="AH145" s="528" t="s">
        <v>430</v>
      </c>
      <c r="AI145" s="539"/>
      <c r="AJ145" s="529"/>
      <c r="AK145" s="363" t="s">
        <v>435</v>
      </c>
    </row>
    <row r="146" spans="33:38" ht="27.75" customHeight="1" x14ac:dyDescent="0.25">
      <c r="AG146" s="136" t="s">
        <v>161</v>
      </c>
      <c r="AH146" s="528" t="s">
        <v>47</v>
      </c>
      <c r="AI146" s="539"/>
      <c r="AJ146" s="529"/>
      <c r="AK146" s="363" t="s">
        <v>501</v>
      </c>
      <c r="AL146" s="129"/>
    </row>
    <row r="147" spans="33:38" ht="27.75" customHeight="1" x14ac:dyDescent="0.25">
      <c r="AG147" s="136" t="s">
        <v>162</v>
      </c>
      <c r="AH147" s="528" t="s">
        <v>74</v>
      </c>
      <c r="AI147" s="539"/>
      <c r="AJ147" s="529"/>
      <c r="AK147" s="363" t="s">
        <v>502</v>
      </c>
      <c r="AL147" s="129"/>
    </row>
    <row r="148" spans="33:38" ht="44.25" customHeight="1" x14ac:dyDescent="0.25">
      <c r="AG148" s="136" t="s">
        <v>163</v>
      </c>
      <c r="AH148" s="528" t="s">
        <v>634</v>
      </c>
      <c r="AI148" s="539"/>
      <c r="AJ148" s="529"/>
      <c r="AK148" s="424" t="s">
        <v>664</v>
      </c>
      <c r="AL148" s="129"/>
    </row>
    <row r="149" spans="33:38" x14ac:dyDescent="0.25">
      <c r="AL149" s="129"/>
    </row>
    <row r="150" spans="33:38" x14ac:dyDescent="0.25">
      <c r="AG150" s="306" t="s">
        <v>178</v>
      </c>
    </row>
    <row r="151" spans="33:38" x14ac:dyDescent="0.25">
      <c r="AG151" s="135" t="s">
        <v>172</v>
      </c>
      <c r="AH151" s="306"/>
      <c r="AI151" s="306"/>
      <c r="AJ151" s="306"/>
      <c r="AK151" s="306"/>
    </row>
    <row r="152" spans="33:38" ht="27.6" x14ac:dyDescent="0.25">
      <c r="AG152" s="136" t="s">
        <v>164</v>
      </c>
      <c r="AH152" s="528" t="s">
        <v>109</v>
      </c>
      <c r="AI152" s="539"/>
      <c r="AJ152" s="529"/>
      <c r="AK152" s="363" t="s">
        <v>608</v>
      </c>
    </row>
    <row r="153" spans="33:38" x14ac:dyDescent="0.25">
      <c r="AG153" s="136" t="s">
        <v>165</v>
      </c>
      <c r="AH153" s="493" t="s">
        <v>111</v>
      </c>
      <c r="AI153" s="566"/>
      <c r="AJ153" s="494"/>
      <c r="AK153" s="486" t="s">
        <v>503</v>
      </c>
    </row>
    <row r="154" spans="33:38" x14ac:dyDescent="0.25">
      <c r="AG154" s="136" t="s">
        <v>166</v>
      </c>
      <c r="AH154" s="508"/>
      <c r="AI154" s="567"/>
      <c r="AJ154" s="462"/>
      <c r="AK154" s="472"/>
    </row>
    <row r="155" spans="33:38" x14ac:dyDescent="0.25">
      <c r="AG155" s="136" t="s">
        <v>167</v>
      </c>
      <c r="AH155" s="508"/>
      <c r="AI155" s="567"/>
      <c r="AJ155" s="462"/>
      <c r="AK155" s="472"/>
    </row>
    <row r="156" spans="33:38" x14ac:dyDescent="0.25">
      <c r="AG156" s="136" t="s">
        <v>168</v>
      </c>
      <c r="AH156" s="495"/>
      <c r="AI156" s="568"/>
      <c r="AJ156" s="496"/>
      <c r="AK156" s="487"/>
    </row>
    <row r="157" spans="33:38" x14ac:dyDescent="0.25">
      <c r="AI157" s="253"/>
      <c r="AJ157" s="193"/>
      <c r="AK157" s="129"/>
    </row>
    <row r="158" spans="33:38" x14ac:dyDescent="0.25">
      <c r="AG158" s="134" t="s">
        <v>179</v>
      </c>
      <c r="AI158" s="253"/>
      <c r="AJ158" s="193"/>
      <c r="AK158" s="129"/>
    </row>
    <row r="159" spans="33:38" x14ac:dyDescent="0.25">
      <c r="AG159" s="135" t="s">
        <v>172</v>
      </c>
      <c r="AH159" s="134"/>
      <c r="AI159" s="134"/>
      <c r="AJ159" s="134"/>
      <c r="AK159" s="134"/>
    </row>
    <row r="160" spans="33:38" ht="45" customHeight="1" x14ac:dyDescent="0.25">
      <c r="AG160" s="136" t="s">
        <v>169</v>
      </c>
      <c r="AH160" s="528" t="s">
        <v>109</v>
      </c>
      <c r="AI160" s="539"/>
      <c r="AJ160" s="529"/>
      <c r="AK160" s="363" t="s">
        <v>609</v>
      </c>
    </row>
    <row r="161" spans="33:37" ht="57" customHeight="1" x14ac:dyDescent="0.25">
      <c r="AG161" s="136" t="s">
        <v>170</v>
      </c>
      <c r="AH161" s="528" t="s">
        <v>111</v>
      </c>
      <c r="AI161" s="539"/>
      <c r="AJ161" s="529"/>
      <c r="AK161" s="363" t="s">
        <v>610</v>
      </c>
    </row>
    <row r="162" spans="33:37" ht="59.25" customHeight="1" x14ac:dyDescent="0.25">
      <c r="AG162" s="136" t="s">
        <v>425</v>
      </c>
      <c r="AH162" s="493" t="s">
        <v>113</v>
      </c>
      <c r="AI162" s="494"/>
      <c r="AJ162" s="174" t="s">
        <v>5</v>
      </c>
      <c r="AK162" s="363" t="s">
        <v>611</v>
      </c>
    </row>
    <row r="163" spans="33:37" ht="124.2" x14ac:dyDescent="0.25">
      <c r="AG163" s="136" t="s">
        <v>426</v>
      </c>
      <c r="AH163" s="508"/>
      <c r="AI163" s="462"/>
      <c r="AJ163" s="174" t="s">
        <v>89</v>
      </c>
      <c r="AK163" s="363" t="s">
        <v>612</v>
      </c>
    </row>
    <row r="164" spans="33:37" ht="26.25" customHeight="1" x14ac:dyDescent="0.25">
      <c r="AG164" s="136" t="s">
        <v>427</v>
      </c>
      <c r="AH164" s="495"/>
      <c r="AI164" s="496"/>
      <c r="AJ164" s="174" t="s">
        <v>90</v>
      </c>
      <c r="AK164" s="363" t="s">
        <v>613</v>
      </c>
    </row>
    <row r="165" spans="33:37" x14ac:dyDescent="0.25">
      <c r="AG165" s="136" t="s">
        <v>428</v>
      </c>
      <c r="AH165" s="528" t="s">
        <v>110</v>
      </c>
      <c r="AI165" s="529"/>
      <c r="AJ165" s="174" t="s">
        <v>88</v>
      </c>
      <c r="AK165" s="363" t="s">
        <v>436</v>
      </c>
    </row>
    <row r="166" spans="33:37" ht="27.6" x14ac:dyDescent="0.25">
      <c r="AG166" s="136" t="s">
        <v>429</v>
      </c>
      <c r="AH166" s="528" t="s">
        <v>87</v>
      </c>
      <c r="AI166" s="529"/>
      <c r="AJ166" s="174" t="s">
        <v>86</v>
      </c>
      <c r="AK166" s="363" t="s">
        <v>437</v>
      </c>
    </row>
  </sheetData>
  <mergeCells count="54">
    <mergeCell ref="N9:Q9"/>
    <mergeCell ref="AH147:AJ147"/>
    <mergeCell ref="AH148:AJ148"/>
    <mergeCell ref="AK153:AK156"/>
    <mergeCell ref="Q11:Q13"/>
    <mergeCell ref="AH145:AJ145"/>
    <mergeCell ref="AH146:AJ146"/>
    <mergeCell ref="AK138:AK140"/>
    <mergeCell ref="O11:O13"/>
    <mergeCell ref="P11:P13"/>
    <mergeCell ref="AH138:AH142"/>
    <mergeCell ref="AI138:AI140"/>
    <mergeCell ref="AI141:AJ141"/>
    <mergeCell ref="AI142:AJ142"/>
    <mergeCell ref="AH137:AJ137"/>
    <mergeCell ref="AH129:AJ129"/>
    <mergeCell ref="AH130:AJ130"/>
    <mergeCell ref="AH131:AJ131"/>
    <mergeCell ref="AH132:AJ132"/>
    <mergeCell ref="AH166:AI166"/>
    <mergeCell ref="AH152:AJ152"/>
    <mergeCell ref="AH153:AJ156"/>
    <mergeCell ref="AH160:AJ160"/>
    <mergeCell ref="AH161:AJ161"/>
    <mergeCell ref="AH162:AI164"/>
    <mergeCell ref="AH165:AI165"/>
    <mergeCell ref="A11:A13"/>
    <mergeCell ref="B11:B13"/>
    <mergeCell ref="C11:C13"/>
    <mergeCell ref="D11:D13"/>
    <mergeCell ref="H11:L11"/>
    <mergeCell ref="L12:L13"/>
    <mergeCell ref="K12:K13"/>
    <mergeCell ref="I2:K2"/>
    <mergeCell ref="I3:K3"/>
    <mergeCell ref="I4:K4"/>
    <mergeCell ref="I5:K5"/>
    <mergeCell ref="I6:K6"/>
    <mergeCell ref="A9:E9"/>
    <mergeCell ref="E11:E13"/>
    <mergeCell ref="AH133:AJ133"/>
    <mergeCell ref="N11:N13"/>
    <mergeCell ref="G9:L9"/>
    <mergeCell ref="Y9:AE9"/>
    <mergeCell ref="S11:S13"/>
    <mergeCell ref="T11:W13"/>
    <mergeCell ref="Y11:Y13"/>
    <mergeCell ref="Z11:Z13"/>
    <mergeCell ref="AA11:AC12"/>
    <mergeCell ref="AD11:AD12"/>
    <mergeCell ref="H12:J12"/>
    <mergeCell ref="AE11:AE12"/>
    <mergeCell ref="S9:W9"/>
    <mergeCell ref="G11:G13"/>
  </mergeCells>
  <phoneticPr fontId="3" type="noConversion"/>
  <conditionalFormatting sqref="AC40">
    <cfRule type="expression" dxfId="113" priority="463" stopIfTrue="1">
      <formula>$B$43="Evaluate UPS efficiency at 50% load factor. Refer to UPS efficiency chart as guide."</formula>
    </cfRule>
    <cfRule type="expression" dxfId="112" priority="464" stopIfTrue="1">
      <formula>$B$43="No action required"</formula>
    </cfRule>
  </conditionalFormatting>
  <conditionalFormatting sqref="AC40">
    <cfRule type="expression" dxfId="111" priority="465" stopIfTrue="1">
      <formula>$B$43="Retrofit UPS for more efficient ones"</formula>
    </cfRule>
  </conditionalFormatting>
  <conditionalFormatting sqref="AC33">
    <cfRule type="expression" dxfId="110" priority="340" stopIfTrue="1">
      <formula>$B$43="Evaluate UPS efficiency at 50% load factor. Refer to UPS efficiency chart as guide."</formula>
    </cfRule>
    <cfRule type="expression" dxfId="109" priority="341" stopIfTrue="1">
      <formula>$B$43="No action required"</formula>
    </cfRule>
  </conditionalFormatting>
  <conditionalFormatting sqref="AC33">
    <cfRule type="expression" dxfId="108" priority="342" stopIfTrue="1">
      <formula>$B$43="Retrofit UPS for more efficient ones"</formula>
    </cfRule>
  </conditionalFormatting>
  <conditionalFormatting sqref="AC15">
    <cfRule type="expression" dxfId="107" priority="328" stopIfTrue="1">
      <formula>$B$43="Evaluate UPS efficiency at 50% load factor. Refer to UPS efficiency chart as guide."</formula>
    </cfRule>
    <cfRule type="expression" dxfId="106" priority="329" stopIfTrue="1">
      <formula>$B$43="No action required"</formula>
    </cfRule>
  </conditionalFormatting>
  <conditionalFormatting sqref="AC15">
    <cfRule type="expression" dxfId="105" priority="330" stopIfTrue="1">
      <formula>$B$43="Retrofit UPS for more efficient ones"</formula>
    </cfRule>
  </conditionalFormatting>
  <conditionalFormatting sqref="AC64">
    <cfRule type="expression" dxfId="104" priority="127" stopIfTrue="1">
      <formula>$B$43="Evaluate UPS efficiency at 50% load factor. Refer to UPS efficiency chart as guide."</formula>
    </cfRule>
    <cfRule type="expression" dxfId="103" priority="128" stopIfTrue="1">
      <formula>$B$43="No action required"</formula>
    </cfRule>
  </conditionalFormatting>
  <conditionalFormatting sqref="AC64">
    <cfRule type="expression" dxfId="102" priority="129" stopIfTrue="1">
      <formula>$B$43="Retrofit UPS for more efficient ones"</formula>
    </cfRule>
  </conditionalFormatting>
  <conditionalFormatting sqref="AC101">
    <cfRule type="expression" dxfId="101" priority="133" stopIfTrue="1">
      <formula>$B$43="Evaluate UPS efficiency at 50% load factor. Refer to UPS efficiency chart as guide."</formula>
    </cfRule>
    <cfRule type="expression" dxfId="100" priority="134" stopIfTrue="1">
      <formula>$B$43="No action required"</formula>
    </cfRule>
  </conditionalFormatting>
  <conditionalFormatting sqref="AC101">
    <cfRule type="expression" dxfId="99" priority="135" stopIfTrue="1">
      <formula>$B$43="Retrofit UPS for more efficient ones"</formula>
    </cfRule>
  </conditionalFormatting>
  <conditionalFormatting sqref="AC119">
    <cfRule type="expression" dxfId="98" priority="103" stopIfTrue="1">
      <formula>$B$43="Evaluate UPS efficiency at 50% load factor. Refer to UPS efficiency chart as guide."</formula>
    </cfRule>
    <cfRule type="expression" dxfId="97" priority="104" stopIfTrue="1">
      <formula>$B$43="No action required"</formula>
    </cfRule>
  </conditionalFormatting>
  <conditionalFormatting sqref="AC119">
    <cfRule type="expression" dxfId="96" priority="105" stopIfTrue="1">
      <formula>$B$43="Retrofit UPS for more efficient ones"</formula>
    </cfRule>
  </conditionalFormatting>
  <conditionalFormatting sqref="AC95">
    <cfRule type="expression" dxfId="95" priority="139" stopIfTrue="1">
      <formula>$B$43="Evaluate UPS efficiency at 50% load factor. Refer to UPS efficiency chart as guide."</formula>
    </cfRule>
    <cfRule type="expression" dxfId="94" priority="140" stopIfTrue="1">
      <formula>$B$43="No action required"</formula>
    </cfRule>
  </conditionalFormatting>
  <conditionalFormatting sqref="AC95">
    <cfRule type="expression" dxfId="93" priority="141" stopIfTrue="1">
      <formula>$B$43="Retrofit UPS for more efficient ones"</formula>
    </cfRule>
  </conditionalFormatting>
  <conditionalFormatting sqref="AC83">
    <cfRule type="expression" dxfId="92" priority="145" stopIfTrue="1">
      <formula>$B$43="Evaluate UPS efficiency at 50% load factor. Refer to UPS efficiency chart as guide."</formula>
    </cfRule>
    <cfRule type="expression" dxfId="91" priority="146" stopIfTrue="1">
      <formula>$B$43="No action required"</formula>
    </cfRule>
  </conditionalFormatting>
  <conditionalFormatting sqref="AC83">
    <cfRule type="expression" dxfId="90" priority="147" stopIfTrue="1">
      <formula>$B$43="Retrofit UPS for more efficient ones"</formula>
    </cfRule>
  </conditionalFormatting>
  <conditionalFormatting sqref="AC58">
    <cfRule type="expression" dxfId="89" priority="109" stopIfTrue="1">
      <formula>$B$43="Evaluate UPS efficiency at 50% load factor. Refer to UPS efficiency chart as guide."</formula>
    </cfRule>
    <cfRule type="expression" dxfId="88" priority="110" stopIfTrue="1">
      <formula>$B$43="No action required"</formula>
    </cfRule>
  </conditionalFormatting>
  <conditionalFormatting sqref="AC58">
    <cfRule type="expression" dxfId="87" priority="111" stopIfTrue="1">
      <formula>$B$43="Retrofit UPS for more efficient ones"</formula>
    </cfRule>
  </conditionalFormatting>
  <conditionalFormatting sqref="AC21">
    <cfRule type="expression" dxfId="86" priority="151" stopIfTrue="1">
      <formula>$B$43="Evaluate UPS efficiency at 50% load factor. Refer to UPS efficiency chart as guide."</formula>
    </cfRule>
    <cfRule type="expression" dxfId="85" priority="152" stopIfTrue="1">
      <formula>$B$43="No action required"</formula>
    </cfRule>
  </conditionalFormatting>
  <conditionalFormatting sqref="AC21">
    <cfRule type="expression" dxfId="84" priority="153" stopIfTrue="1">
      <formula>$B$43="Retrofit UPS for more efficient ones"</formula>
    </cfRule>
  </conditionalFormatting>
  <conditionalFormatting sqref="AC27">
    <cfRule type="expression" dxfId="83" priority="115" stopIfTrue="1">
      <formula>$B$43="Evaluate UPS efficiency at 50% load factor. Refer to UPS efficiency chart as guide."</formula>
    </cfRule>
    <cfRule type="expression" dxfId="82" priority="116" stopIfTrue="1">
      <formula>$B$43="No action required"</formula>
    </cfRule>
  </conditionalFormatting>
  <conditionalFormatting sqref="AC27">
    <cfRule type="expression" dxfId="81" priority="117" stopIfTrue="1">
      <formula>$B$43="Retrofit UPS for more efficient ones"</formula>
    </cfRule>
  </conditionalFormatting>
  <conditionalFormatting sqref="AC77">
    <cfRule type="expression" dxfId="80" priority="163" stopIfTrue="1">
      <formula>$B$43="Evaluate UPS efficiency at 50% load factor. Refer to UPS efficiency chart as guide."</formula>
    </cfRule>
    <cfRule type="expression" dxfId="79" priority="164" stopIfTrue="1">
      <formula>$B$43="No action required"</formula>
    </cfRule>
  </conditionalFormatting>
  <conditionalFormatting sqref="AC77">
    <cfRule type="expression" dxfId="78" priority="165" stopIfTrue="1">
      <formula>$B$43="Retrofit UPS for more efficient ones"</formula>
    </cfRule>
  </conditionalFormatting>
  <conditionalFormatting sqref="AC89">
    <cfRule type="expression" dxfId="77" priority="121" stopIfTrue="1">
      <formula>$B$43="Evaluate UPS efficiency at 50% load factor. Refer to UPS efficiency chart as guide."</formula>
    </cfRule>
    <cfRule type="expression" dxfId="76" priority="122" stopIfTrue="1">
      <formula>$B$43="No action required"</formula>
    </cfRule>
  </conditionalFormatting>
  <conditionalFormatting sqref="AC89">
    <cfRule type="expression" dxfId="75" priority="123" stopIfTrue="1">
      <formula>$B$43="Retrofit UPS for more efficient ones"</formula>
    </cfRule>
  </conditionalFormatting>
  <conditionalFormatting sqref="AC113">
    <cfRule type="expression" dxfId="74" priority="91" stopIfTrue="1">
      <formula>$B$43="Evaluate UPS efficiency at 50% load factor. Refer to UPS efficiency chart as guide."</formula>
    </cfRule>
    <cfRule type="expression" dxfId="73" priority="92" stopIfTrue="1">
      <formula>$B$43="No action required"</formula>
    </cfRule>
  </conditionalFormatting>
  <conditionalFormatting sqref="AC113">
    <cfRule type="expression" dxfId="72" priority="93" stopIfTrue="1">
      <formula>$B$43="Retrofit UPS for more efficient ones"</formula>
    </cfRule>
  </conditionalFormatting>
  <conditionalFormatting sqref="AC107">
    <cfRule type="expression" dxfId="71" priority="79" stopIfTrue="1">
      <formula>$B$43="Evaluate UPS efficiency at 50% load factor. Refer to UPS efficiency chart as guide."</formula>
    </cfRule>
    <cfRule type="expression" dxfId="70" priority="80" stopIfTrue="1">
      <formula>$B$43="No action required"</formula>
    </cfRule>
  </conditionalFormatting>
  <conditionalFormatting sqref="AC107">
    <cfRule type="expression" dxfId="69" priority="81" stopIfTrue="1">
      <formula>$B$43="Retrofit UPS for more efficient ones"</formula>
    </cfRule>
  </conditionalFormatting>
  <conditionalFormatting sqref="AD40">
    <cfRule type="expression" dxfId="68" priority="73" stopIfTrue="1">
      <formula>$B$43="Evaluate UPS efficiency at 50% load factor. Refer to UPS efficiency chart as guide."</formula>
    </cfRule>
    <cfRule type="expression" dxfId="67" priority="74" stopIfTrue="1">
      <formula>$B$43="No action required"</formula>
    </cfRule>
  </conditionalFormatting>
  <conditionalFormatting sqref="AD40">
    <cfRule type="expression" dxfId="66" priority="75" stopIfTrue="1">
      <formula>$B$43="Retrofit UPS for more efficient ones"</formula>
    </cfRule>
  </conditionalFormatting>
  <conditionalFormatting sqref="AD33">
    <cfRule type="expression" dxfId="65" priority="67" stopIfTrue="1">
      <formula>$B$43="Evaluate UPS efficiency at 50% load factor. Refer to UPS efficiency chart as guide."</formula>
    </cfRule>
    <cfRule type="expression" dxfId="64" priority="68" stopIfTrue="1">
      <formula>$B$43="No action required"</formula>
    </cfRule>
  </conditionalFormatting>
  <conditionalFormatting sqref="AD33">
    <cfRule type="expression" dxfId="63" priority="69" stopIfTrue="1">
      <formula>$B$43="Retrofit UPS for more efficient ones"</formula>
    </cfRule>
  </conditionalFormatting>
  <conditionalFormatting sqref="AD77">
    <cfRule type="expression" dxfId="62" priority="61" stopIfTrue="1">
      <formula>$B$43="Evaluate UPS efficiency at 50% load factor. Refer to UPS efficiency chart as guide."</formula>
    </cfRule>
    <cfRule type="expression" dxfId="61" priority="62" stopIfTrue="1">
      <formula>$B$43="No action required"</formula>
    </cfRule>
  </conditionalFormatting>
  <conditionalFormatting sqref="AD77">
    <cfRule type="expression" dxfId="60" priority="63" stopIfTrue="1">
      <formula>$B$43="Retrofit UPS for more efficient ones"</formula>
    </cfRule>
  </conditionalFormatting>
  <conditionalFormatting sqref="AD21">
    <cfRule type="expression" dxfId="59" priority="55" stopIfTrue="1">
      <formula>$B$43="Evaluate UPS efficiency at 50% load factor. Refer to UPS efficiency chart as guide."</formula>
    </cfRule>
    <cfRule type="expression" dxfId="58" priority="56" stopIfTrue="1">
      <formula>$B$43="No action required"</formula>
    </cfRule>
  </conditionalFormatting>
  <conditionalFormatting sqref="AD21">
    <cfRule type="expression" dxfId="57" priority="57" stopIfTrue="1">
      <formula>$B$43="Retrofit UPS for more efficient ones"</formula>
    </cfRule>
  </conditionalFormatting>
  <conditionalFormatting sqref="AD83">
    <cfRule type="expression" dxfId="56" priority="52" stopIfTrue="1">
      <formula>$B$43="Evaluate UPS efficiency at 50% load factor. Refer to UPS efficiency chart as guide."</formula>
    </cfRule>
    <cfRule type="expression" dxfId="55" priority="53" stopIfTrue="1">
      <formula>$B$43="No action required"</formula>
    </cfRule>
  </conditionalFormatting>
  <conditionalFormatting sqref="AD83">
    <cfRule type="expression" dxfId="54" priority="54" stopIfTrue="1">
      <formula>$B$43="Retrofit UPS for more efficient ones"</formula>
    </cfRule>
  </conditionalFormatting>
  <conditionalFormatting sqref="AD95">
    <cfRule type="expression" dxfId="53" priority="49" stopIfTrue="1">
      <formula>$B$43="Evaluate UPS efficiency at 50% load factor. Refer to UPS efficiency chart as guide."</formula>
    </cfRule>
    <cfRule type="expression" dxfId="52" priority="50" stopIfTrue="1">
      <formula>$B$43="No action required"</formula>
    </cfRule>
  </conditionalFormatting>
  <conditionalFormatting sqref="AD95">
    <cfRule type="expression" dxfId="51" priority="51" stopIfTrue="1">
      <formula>$B$43="Retrofit UPS for more efficient ones"</formula>
    </cfRule>
  </conditionalFormatting>
  <conditionalFormatting sqref="AD101">
    <cfRule type="expression" dxfId="50" priority="46" stopIfTrue="1">
      <formula>$B$43="Evaluate UPS efficiency at 50% load factor. Refer to UPS efficiency chart as guide."</formula>
    </cfRule>
    <cfRule type="expression" dxfId="49" priority="47" stopIfTrue="1">
      <formula>$B$43="No action required"</formula>
    </cfRule>
  </conditionalFormatting>
  <conditionalFormatting sqref="AD101">
    <cfRule type="expression" dxfId="48" priority="48" stopIfTrue="1">
      <formula>$B$43="Retrofit UPS for more efficient ones"</formula>
    </cfRule>
  </conditionalFormatting>
  <conditionalFormatting sqref="AD64">
    <cfRule type="expression" dxfId="47" priority="43" stopIfTrue="1">
      <formula>$B$43="Evaluate UPS efficiency at 50% load factor. Refer to UPS efficiency chart as guide."</formula>
    </cfRule>
    <cfRule type="expression" dxfId="46" priority="44" stopIfTrue="1">
      <formula>$B$43="No action required"</formula>
    </cfRule>
  </conditionalFormatting>
  <conditionalFormatting sqref="AD64">
    <cfRule type="expression" dxfId="45" priority="45" stopIfTrue="1">
      <formula>$B$43="Retrofit UPS for more efficient ones"</formula>
    </cfRule>
  </conditionalFormatting>
  <conditionalFormatting sqref="AD89">
    <cfRule type="expression" dxfId="44" priority="40" stopIfTrue="1">
      <formula>$B$43="Evaluate UPS efficiency at 50% load factor. Refer to UPS efficiency chart as guide."</formula>
    </cfRule>
    <cfRule type="expression" dxfId="43" priority="41" stopIfTrue="1">
      <formula>$B$43="No action required"</formula>
    </cfRule>
  </conditionalFormatting>
  <conditionalFormatting sqref="AD89">
    <cfRule type="expression" dxfId="42" priority="42" stopIfTrue="1">
      <formula>$B$43="Retrofit UPS for more efficient ones"</formula>
    </cfRule>
  </conditionalFormatting>
  <conditionalFormatting sqref="AD27">
    <cfRule type="expression" dxfId="41" priority="37" stopIfTrue="1">
      <formula>$B$43="Evaluate UPS efficiency at 50% load factor. Refer to UPS efficiency chart as guide."</formula>
    </cfRule>
    <cfRule type="expression" dxfId="40" priority="38" stopIfTrue="1">
      <formula>$B$43="No action required"</formula>
    </cfRule>
  </conditionalFormatting>
  <conditionalFormatting sqref="AD27">
    <cfRule type="expression" dxfId="39" priority="39" stopIfTrue="1">
      <formula>$B$43="Retrofit UPS for more efficient ones"</formula>
    </cfRule>
  </conditionalFormatting>
  <conditionalFormatting sqref="AD58">
    <cfRule type="expression" dxfId="38" priority="34" stopIfTrue="1">
      <formula>$B$43="Evaluate UPS efficiency at 50% load factor. Refer to UPS efficiency chart as guide."</formula>
    </cfRule>
    <cfRule type="expression" dxfId="37" priority="35" stopIfTrue="1">
      <formula>$B$43="No action required"</formula>
    </cfRule>
  </conditionalFormatting>
  <conditionalFormatting sqref="AD58">
    <cfRule type="expression" dxfId="36" priority="36" stopIfTrue="1">
      <formula>$B$43="Retrofit UPS for more efficient ones"</formula>
    </cfRule>
  </conditionalFormatting>
  <conditionalFormatting sqref="AD119">
    <cfRule type="expression" dxfId="35" priority="31" stopIfTrue="1">
      <formula>$B$43="Evaluate UPS efficiency at 50% load factor. Refer to UPS efficiency chart as guide."</formula>
    </cfRule>
    <cfRule type="expression" dxfId="34" priority="32" stopIfTrue="1">
      <formula>$B$43="No action required"</formula>
    </cfRule>
  </conditionalFormatting>
  <conditionalFormatting sqref="AD119">
    <cfRule type="expression" dxfId="33" priority="33" stopIfTrue="1">
      <formula>$B$43="Retrofit UPS for more efficient ones"</formula>
    </cfRule>
  </conditionalFormatting>
  <conditionalFormatting sqref="AD113">
    <cfRule type="expression" dxfId="32" priority="25" stopIfTrue="1">
      <formula>$B$43="Evaluate UPS efficiency at 50% load factor. Refer to UPS efficiency chart as guide."</formula>
    </cfRule>
    <cfRule type="expression" dxfId="31" priority="26" stopIfTrue="1">
      <formula>$B$43="No action required"</formula>
    </cfRule>
  </conditionalFormatting>
  <conditionalFormatting sqref="AD113">
    <cfRule type="expression" dxfId="30" priority="27" stopIfTrue="1">
      <formula>$B$43="Retrofit UPS for more efficient ones"</formula>
    </cfRule>
  </conditionalFormatting>
  <conditionalFormatting sqref="AD107">
    <cfRule type="expression" dxfId="29" priority="19" stopIfTrue="1">
      <formula>$B$43="Evaluate UPS efficiency at 50% load factor. Refer to UPS efficiency chart as guide."</formula>
    </cfRule>
    <cfRule type="expression" dxfId="28" priority="20" stopIfTrue="1">
      <formula>$B$43="No action required"</formula>
    </cfRule>
  </conditionalFormatting>
  <conditionalFormatting sqref="AD107">
    <cfRule type="expression" dxfId="27" priority="21" stopIfTrue="1">
      <formula>$B$43="Retrofit UPS for more efficient ones"</formula>
    </cfRule>
  </conditionalFormatting>
  <conditionalFormatting sqref="AC70">
    <cfRule type="expression" dxfId="26" priority="16" stopIfTrue="1">
      <formula>$B$43="Evaluate UPS efficiency at 50% load factor. Refer to UPS efficiency chart as guide."</formula>
    </cfRule>
    <cfRule type="expression" dxfId="25" priority="17" stopIfTrue="1">
      <formula>$B$43="No action required"</formula>
    </cfRule>
  </conditionalFormatting>
  <conditionalFormatting sqref="AC70">
    <cfRule type="expression" dxfId="24" priority="18" stopIfTrue="1">
      <formula>$B$43="Retrofit UPS for more efficient ones"</formula>
    </cfRule>
  </conditionalFormatting>
  <conditionalFormatting sqref="AD70">
    <cfRule type="expression" dxfId="23" priority="13" stopIfTrue="1">
      <formula>$B$43="Evaluate UPS efficiency at 50% load factor. Refer to UPS efficiency chart as guide."</formula>
    </cfRule>
    <cfRule type="expression" dxfId="22" priority="14" stopIfTrue="1">
      <formula>$B$43="No action required"</formula>
    </cfRule>
  </conditionalFormatting>
  <conditionalFormatting sqref="AD70">
    <cfRule type="expression" dxfId="21" priority="15" stopIfTrue="1">
      <formula>$B$43="Retrofit UPS for more efficient ones"</formula>
    </cfRule>
  </conditionalFormatting>
  <conditionalFormatting sqref="AD15">
    <cfRule type="expression" dxfId="20" priority="10" stopIfTrue="1">
      <formula>$B$43="Evaluate UPS efficiency at 50% load factor. Refer to UPS efficiency chart as guide."</formula>
    </cfRule>
    <cfRule type="expression" dxfId="19" priority="11" stopIfTrue="1">
      <formula>$B$43="No action required"</formula>
    </cfRule>
  </conditionalFormatting>
  <conditionalFormatting sqref="AD15">
    <cfRule type="expression" dxfId="18" priority="12" stopIfTrue="1">
      <formula>$B$43="Retrofit UPS for more efficient ones"</formula>
    </cfRule>
  </conditionalFormatting>
  <conditionalFormatting sqref="AC52">
    <cfRule type="expression" dxfId="17" priority="4" stopIfTrue="1">
      <formula>$B$43="Evaluate UPS efficiency at 50% load factor. Refer to UPS efficiency chart as guide."</formula>
    </cfRule>
    <cfRule type="expression" dxfId="16" priority="5" stopIfTrue="1">
      <formula>$B$43="No action required"</formula>
    </cfRule>
  </conditionalFormatting>
  <conditionalFormatting sqref="AC52">
    <cfRule type="expression" dxfId="15" priority="6" stopIfTrue="1">
      <formula>$B$43="Retrofit UPS for more efficient ones"</formula>
    </cfRule>
  </conditionalFormatting>
  <conditionalFormatting sqref="AD52">
    <cfRule type="expression" dxfId="14" priority="1" stopIfTrue="1">
      <formula>$B$43="Evaluate UPS efficiency at 50% load factor. Refer to UPS efficiency chart as guide."</formula>
    </cfRule>
    <cfRule type="expression" dxfId="13" priority="2" stopIfTrue="1">
      <formula>$B$43="No action required"</formula>
    </cfRule>
  </conditionalFormatting>
  <conditionalFormatting sqref="AD52">
    <cfRule type="expression" dxfId="12" priority="3" stopIfTrue="1">
      <formula>$B$43="Retrofit UPS for more efficient ones"</formula>
    </cfRule>
  </conditionalFormatting>
  <dataValidations disablePrompts="1" count="1">
    <dataValidation showInputMessage="1" showErrorMessage="1" sqref="E40:F40 P48 C77 E77:H77 H15 H21 H83 H95 H101 H64 H89 H27 H58 H107 H113 C42 P40 P42 P44 P46 C44:C50 S41" xr:uid="{00000000-0002-0000-0800-000000000000}"/>
  </dataValidations>
  <pageMargins left="0.75" right="0.75" top="1" bottom="1" header="0.5" footer="0.5"/>
  <pageSetup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P26"/>
  <sheetViews>
    <sheetView showGridLines="0" workbookViewId="0">
      <selection activeCell="N29" sqref="N29"/>
    </sheetView>
  </sheetViews>
  <sheetFormatPr defaultColWidth="9.109375" defaultRowHeight="13.8" x14ac:dyDescent="0.25"/>
  <cols>
    <col min="1" max="1" width="15" style="128" customWidth="1"/>
    <col min="2" max="3" width="9.109375" style="128"/>
    <col min="4" max="4" width="10.5546875" style="128" customWidth="1"/>
    <col min="5" max="5" width="8.6640625" style="128" customWidth="1"/>
    <col min="6" max="6" width="9.109375" style="128"/>
    <col min="7" max="9" width="9.88671875" style="128" customWidth="1"/>
    <col min="10" max="10" width="10.5546875" style="128" customWidth="1"/>
    <col min="11" max="11" width="9.109375" style="128"/>
    <col min="12" max="12" width="7.44140625" style="128" customWidth="1"/>
    <col min="13" max="13" width="9" style="128" customWidth="1"/>
    <col min="14" max="14" width="21.109375" style="128" customWidth="1"/>
    <col min="15" max="15" width="8" style="128" customWidth="1"/>
    <col min="16" max="16" width="52.88671875" style="128" customWidth="1"/>
    <col min="17" max="16384" width="9.109375" style="128"/>
  </cols>
  <sheetData>
    <row r="1" spans="1:15" ht="21.6" x14ac:dyDescent="0.25">
      <c r="A1" s="132" t="s">
        <v>305</v>
      </c>
    </row>
    <row r="2" spans="1:15" x14ac:dyDescent="0.25">
      <c r="A2" s="128" t="s">
        <v>580</v>
      </c>
    </row>
    <row r="3" spans="1:15" x14ac:dyDescent="0.25">
      <c r="A3" s="129" t="s">
        <v>576</v>
      </c>
      <c r="L3" s="140"/>
      <c r="M3" s="140"/>
      <c r="N3" s="133"/>
    </row>
    <row r="6" spans="1:15" ht="22.2" thickBot="1" x14ac:dyDescent="0.3">
      <c r="A6" s="132" t="s">
        <v>255</v>
      </c>
    </row>
    <row r="7" spans="1:15" ht="14.25" customHeight="1" x14ac:dyDescent="0.25">
      <c r="A7" s="364" t="s">
        <v>264</v>
      </c>
      <c r="B7" s="388" t="s">
        <v>265</v>
      </c>
      <c r="C7" s="389" t="s">
        <v>266</v>
      </c>
      <c r="D7" s="390" t="s">
        <v>267</v>
      </c>
      <c r="E7" s="388" t="s">
        <v>268</v>
      </c>
      <c r="F7" s="389" t="s">
        <v>269</v>
      </c>
      <c r="G7" s="390" t="s">
        <v>270</v>
      </c>
      <c r="H7" s="388" t="s">
        <v>469</v>
      </c>
      <c r="I7" s="389" t="s">
        <v>476</v>
      </c>
      <c r="J7" s="390" t="s">
        <v>477</v>
      </c>
    </row>
    <row r="8" spans="1:15" ht="21" customHeight="1" x14ac:dyDescent="0.25">
      <c r="A8" s="564" t="s">
        <v>271</v>
      </c>
      <c r="B8" s="573" t="s">
        <v>470</v>
      </c>
      <c r="C8" s="562"/>
      <c r="D8" s="574"/>
      <c r="E8" s="573" t="s">
        <v>474</v>
      </c>
      <c r="F8" s="562"/>
      <c r="G8" s="574"/>
      <c r="H8" s="573" t="s">
        <v>475</v>
      </c>
      <c r="I8" s="562"/>
      <c r="J8" s="574"/>
    </row>
    <row r="9" spans="1:15" ht="51.75" customHeight="1" x14ac:dyDescent="0.25">
      <c r="A9" s="572"/>
      <c r="B9" s="391" t="s">
        <v>471</v>
      </c>
      <c r="C9" s="199" t="s">
        <v>472</v>
      </c>
      <c r="D9" s="392" t="s">
        <v>473</v>
      </c>
      <c r="E9" s="391" t="s">
        <v>471</v>
      </c>
      <c r="F9" s="199" t="s">
        <v>472</v>
      </c>
      <c r="G9" s="392" t="s">
        <v>473</v>
      </c>
      <c r="H9" s="391" t="s">
        <v>471</v>
      </c>
      <c r="I9" s="199" t="s">
        <v>472</v>
      </c>
      <c r="J9" s="392" t="s">
        <v>473</v>
      </c>
    </row>
    <row r="10" spans="1:15" ht="24" customHeight="1" x14ac:dyDescent="0.25">
      <c r="A10" s="565"/>
      <c r="B10" s="391" t="s">
        <v>5</v>
      </c>
      <c r="C10" s="199" t="s">
        <v>89</v>
      </c>
      <c r="D10" s="392" t="s">
        <v>90</v>
      </c>
      <c r="E10" s="391" t="s">
        <v>5</v>
      </c>
      <c r="F10" s="199" t="s">
        <v>89</v>
      </c>
      <c r="G10" s="392" t="s">
        <v>90</v>
      </c>
      <c r="H10" s="391" t="s">
        <v>5</v>
      </c>
      <c r="I10" s="199" t="s">
        <v>89</v>
      </c>
      <c r="J10" s="392" t="s">
        <v>90</v>
      </c>
    </row>
    <row r="11" spans="1:15" x14ac:dyDescent="0.25">
      <c r="A11" s="386" t="s">
        <v>447</v>
      </c>
      <c r="B11" s="393">
        <f>SUM('Action Results'!F16:F32)</f>
        <v>52.561428571428578</v>
      </c>
      <c r="C11" s="222">
        <f>SUM('Action Results'!G16:G32)</f>
        <v>1867669.4994299926</v>
      </c>
      <c r="D11" s="394">
        <f>SUM('Action Results'!H16:H32)</f>
        <v>280150.42491449893</v>
      </c>
      <c r="E11" s="401">
        <f>IF((B11&gt;30),30,B11)</f>
        <v>30</v>
      </c>
      <c r="F11" s="222">
        <f>E11/100*'User Inputs'!$C$39</f>
        <v>300000</v>
      </c>
      <c r="G11" s="394">
        <f>F11*'User Inputs'!$C$32/100</f>
        <v>45000</v>
      </c>
      <c r="H11" s="399">
        <f t="shared" ref="H11:J12" si="0">MIN(B11,E11)</f>
        <v>30</v>
      </c>
      <c r="I11" s="400">
        <f t="shared" si="0"/>
        <v>300000</v>
      </c>
      <c r="J11" s="394">
        <f t="shared" si="0"/>
        <v>45000</v>
      </c>
    </row>
    <row r="12" spans="1:15" x14ac:dyDescent="0.25">
      <c r="A12" s="386" t="s">
        <v>281</v>
      </c>
      <c r="B12" s="393">
        <f>SUM('Action Results'!F33:F38)</f>
        <v>110</v>
      </c>
      <c r="C12" s="222">
        <f>SUM('Action Results'!G33:G38)</f>
        <v>3025000</v>
      </c>
      <c r="D12" s="394">
        <f>SUM('Action Results'!H33:H38)</f>
        <v>453749.99999999994</v>
      </c>
      <c r="E12" s="401">
        <f>IF((B12&gt;30),30,B12)</f>
        <v>30</v>
      </c>
      <c r="F12" s="222">
        <f>E12/100*'User Inputs'!$C$31</f>
        <v>825000</v>
      </c>
      <c r="G12" s="394">
        <f>F12*'User Inputs'!$C$32/100</f>
        <v>123750</v>
      </c>
      <c r="H12" s="399">
        <f t="shared" si="0"/>
        <v>30</v>
      </c>
      <c r="I12" s="400">
        <f t="shared" si="0"/>
        <v>825000</v>
      </c>
      <c r="J12" s="394">
        <f t="shared" si="0"/>
        <v>123750</v>
      </c>
    </row>
    <row r="13" spans="1:15" ht="14.4" thickBot="1" x14ac:dyDescent="0.3">
      <c r="A13" s="387" t="s">
        <v>254</v>
      </c>
      <c r="B13" s="395"/>
      <c r="C13" s="396">
        <f>SUM(C11:C12)</f>
        <v>4892669.4994299924</v>
      </c>
      <c r="D13" s="397">
        <f>SUM(D11:D12)</f>
        <v>733900.42491449881</v>
      </c>
      <c r="E13" s="398"/>
      <c r="F13" s="396">
        <f>SUM(F11:F12)</f>
        <v>1125000</v>
      </c>
      <c r="G13" s="397">
        <f>SUM(G11:G12)</f>
        <v>168750</v>
      </c>
      <c r="H13" s="398"/>
      <c r="I13" s="396">
        <f>SUM(I11:I12)</f>
        <v>1125000</v>
      </c>
      <c r="J13" s="397">
        <f>SUM(J11:J12)</f>
        <v>168750</v>
      </c>
    </row>
    <row r="15" spans="1:15" ht="21.6" x14ac:dyDescent="0.25">
      <c r="L15" s="132" t="s">
        <v>263</v>
      </c>
      <c r="M15" s="132"/>
    </row>
    <row r="16" spans="1:15" x14ac:dyDescent="0.25">
      <c r="L16" s="135" t="s">
        <v>172</v>
      </c>
      <c r="M16" s="340"/>
      <c r="N16" s="193"/>
      <c r="O16" s="193"/>
    </row>
    <row r="17" spans="12:16" ht="18.75" customHeight="1" x14ac:dyDescent="0.25">
      <c r="L17" s="139" t="s">
        <v>264</v>
      </c>
      <c r="M17" s="528" t="s">
        <v>271</v>
      </c>
      <c r="N17" s="539"/>
      <c r="O17" s="529"/>
      <c r="P17" s="363" t="s">
        <v>446</v>
      </c>
    </row>
    <row r="18" spans="12:16" ht="82.8" x14ac:dyDescent="0.25">
      <c r="L18" s="139" t="s">
        <v>265</v>
      </c>
      <c r="M18" s="569" t="s">
        <v>470</v>
      </c>
      <c r="N18" s="174" t="s">
        <v>471</v>
      </c>
      <c r="O18" s="174" t="s">
        <v>5</v>
      </c>
      <c r="P18" s="363" t="s">
        <v>654</v>
      </c>
    </row>
    <row r="19" spans="12:16" ht="55.2" x14ac:dyDescent="0.25">
      <c r="L19" s="139" t="s">
        <v>266</v>
      </c>
      <c r="M19" s="570"/>
      <c r="N19" s="174" t="s">
        <v>472</v>
      </c>
      <c r="O19" s="174" t="s">
        <v>89</v>
      </c>
      <c r="P19" s="363" t="s">
        <v>655</v>
      </c>
    </row>
    <row r="20" spans="12:16" ht="58.5" customHeight="1" x14ac:dyDescent="0.25">
      <c r="L20" s="139" t="s">
        <v>267</v>
      </c>
      <c r="M20" s="571"/>
      <c r="N20" s="174" t="s">
        <v>473</v>
      </c>
      <c r="O20" s="174" t="s">
        <v>90</v>
      </c>
      <c r="P20" s="363" t="s">
        <v>656</v>
      </c>
    </row>
    <row r="21" spans="12:16" ht="30.75" customHeight="1" x14ac:dyDescent="0.25">
      <c r="L21" s="139" t="s">
        <v>268</v>
      </c>
      <c r="M21" s="569" t="s">
        <v>474</v>
      </c>
      <c r="N21" s="363" t="s">
        <v>471</v>
      </c>
      <c r="O21" s="363" t="s">
        <v>5</v>
      </c>
      <c r="P21" s="363" t="s">
        <v>478</v>
      </c>
    </row>
    <row r="22" spans="12:16" ht="82.5" customHeight="1" x14ac:dyDescent="0.25">
      <c r="L22" s="139" t="s">
        <v>269</v>
      </c>
      <c r="M22" s="570"/>
      <c r="N22" s="363" t="s">
        <v>472</v>
      </c>
      <c r="O22" s="363" t="s">
        <v>89</v>
      </c>
      <c r="P22" s="363" t="s">
        <v>657</v>
      </c>
    </row>
    <row r="23" spans="12:16" ht="39.75" customHeight="1" x14ac:dyDescent="0.25">
      <c r="L23" s="139" t="s">
        <v>270</v>
      </c>
      <c r="M23" s="571"/>
      <c r="N23" s="363" t="s">
        <v>473</v>
      </c>
      <c r="O23" s="363" t="s">
        <v>90</v>
      </c>
      <c r="P23" s="142" t="s">
        <v>658</v>
      </c>
    </row>
    <row r="24" spans="12:16" ht="19.5" customHeight="1" x14ac:dyDescent="0.25">
      <c r="L24" s="139" t="s">
        <v>469</v>
      </c>
      <c r="M24" s="569" t="s">
        <v>475</v>
      </c>
      <c r="N24" s="363" t="s">
        <v>471</v>
      </c>
      <c r="O24" s="363" t="s">
        <v>5</v>
      </c>
      <c r="P24" s="142" t="s">
        <v>479</v>
      </c>
    </row>
    <row r="25" spans="12:16" ht="18.75" customHeight="1" x14ac:dyDescent="0.25">
      <c r="L25" s="139" t="s">
        <v>476</v>
      </c>
      <c r="M25" s="570"/>
      <c r="N25" s="363" t="s">
        <v>472</v>
      </c>
      <c r="O25" s="363" t="s">
        <v>89</v>
      </c>
      <c r="P25" s="142" t="s">
        <v>480</v>
      </c>
    </row>
    <row r="26" spans="12:16" ht="19.5" customHeight="1" x14ac:dyDescent="0.25">
      <c r="L26" s="139" t="s">
        <v>477</v>
      </c>
      <c r="M26" s="571"/>
      <c r="N26" s="363" t="s">
        <v>473</v>
      </c>
      <c r="O26" s="363" t="s">
        <v>90</v>
      </c>
      <c r="P26" s="142" t="s">
        <v>481</v>
      </c>
    </row>
  </sheetData>
  <mergeCells count="8">
    <mergeCell ref="M18:M20"/>
    <mergeCell ref="M21:M23"/>
    <mergeCell ref="M24:M26"/>
    <mergeCell ref="A8:A10"/>
    <mergeCell ref="B8:D8"/>
    <mergeCell ref="E8:G8"/>
    <mergeCell ref="H8:J8"/>
    <mergeCell ref="M17:O17"/>
  </mergeCells>
  <conditionalFormatting sqref="D11:D12 J11:J13">
    <cfRule type="expression" dxfId="11" priority="10" stopIfTrue="1">
      <formula>$A$25="Evaluate UPS efficiency at 50% load factor. Refer to UPS efficiency chart as guide."</formula>
    </cfRule>
    <cfRule type="expression" dxfId="10" priority="11" stopIfTrue="1">
      <formula>$A$25="No action required"</formula>
    </cfRule>
  </conditionalFormatting>
  <conditionalFormatting sqref="D11:D12 J11:J13">
    <cfRule type="expression" dxfId="9" priority="12" stopIfTrue="1">
      <formula>$A$25="Retrofit UPS for more efficient ones"</formula>
    </cfRule>
  </conditionalFormatting>
  <conditionalFormatting sqref="D13">
    <cfRule type="expression" dxfId="8" priority="7" stopIfTrue="1">
      <formula>$A$25="Evaluate UPS efficiency at 50% load factor. Refer to UPS efficiency chart as guide."</formula>
    </cfRule>
    <cfRule type="expression" dxfId="7" priority="8" stopIfTrue="1">
      <formula>$A$25="No action required"</formula>
    </cfRule>
  </conditionalFormatting>
  <conditionalFormatting sqref="D13">
    <cfRule type="expression" dxfId="6" priority="9" stopIfTrue="1">
      <formula>$A$25="Retrofit UPS for more efficient ones"</formula>
    </cfRule>
  </conditionalFormatting>
  <conditionalFormatting sqref="G13">
    <cfRule type="expression" dxfId="5" priority="4" stopIfTrue="1">
      <formula>$A$25="Evaluate UPS efficiency at 50% load factor. Refer to UPS efficiency chart as guide."</formula>
    </cfRule>
    <cfRule type="expression" dxfId="4" priority="5" stopIfTrue="1">
      <formula>$A$25="No action required"</formula>
    </cfRule>
  </conditionalFormatting>
  <conditionalFormatting sqref="G13">
    <cfRule type="expression" dxfId="3" priority="6" stopIfTrue="1">
      <formula>$A$25="Retrofit UPS for more efficient ones"</formula>
    </cfRule>
  </conditionalFormatting>
  <conditionalFormatting sqref="G11:G12">
    <cfRule type="expression" dxfId="2" priority="1" stopIfTrue="1">
      <formula>$A$25="Evaluate UPS efficiency at 50% load factor. Refer to UPS efficiency chart as guide."</formula>
    </cfRule>
    <cfRule type="expression" dxfId="1" priority="2" stopIfTrue="1">
      <formula>$A$25="No action required"</formula>
    </cfRule>
  </conditionalFormatting>
  <conditionalFormatting sqref="G11:G12">
    <cfRule type="expression" dxfId="0" priority="3" stopIfTrue="1">
      <formula>$A$25="Retrofit UPS for more efficient ones"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Overview</vt:lpstr>
      <vt:lpstr>User Inputs</vt:lpstr>
      <vt:lpstr>Action Results</vt:lpstr>
      <vt:lpstr>Savings Summary</vt:lpstr>
      <vt:lpstr>Peer Comparison</vt:lpstr>
      <vt:lpstr>UPS Efficiency</vt:lpstr>
      <vt:lpstr>Table AA</vt:lpstr>
      <vt:lpstr>Table BB</vt:lpstr>
      <vt:lpstr>Table DD</vt:lpstr>
      <vt:lpstr>DC_BM_data</vt:lpstr>
      <vt:lpstr>UPS_data</vt:lpstr>
      <vt:lpstr>Developer</vt:lpstr>
      <vt:lpstr>'Peer Comparison'!Print_Area</vt:lpstr>
      <vt:lpstr>'UPS Efficiency'!Print_Area</vt:lpstr>
    </vt:vector>
  </TitlesOfParts>
  <Company>Lawrence Berkeley National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Center Electrical Power Chain Assessment Tool</dc:title>
  <dc:subject>This DC Pro component tool helps data center owners assess the potential savings from efficiency actions in the electrical power chain of a data center such as transformers, generators, UPS, and PDUs.</dc:subject>
  <dc:creator>Kim</dc:creator>
  <cp:lastModifiedBy>I. Hoffman</cp:lastModifiedBy>
  <cp:lastPrinted>2010-01-26T00:36:38Z</cp:lastPrinted>
  <dcterms:created xsi:type="dcterms:W3CDTF">2007-01-20T00:53:37Z</dcterms:created>
  <dcterms:modified xsi:type="dcterms:W3CDTF">2020-03-19T15:54:41Z</dcterms:modified>
</cp:coreProperties>
</file>